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Ivonne\Downloads\gew dk\"/>
    </mc:Choice>
  </mc:AlternateContent>
  <xr:revisionPtr revIDLastSave="0" documentId="8_{97F94E51-23E4-48D1-AA87-CE1AC7953B3E}" xr6:coauthVersionLast="33" xr6:coauthVersionMax="33" xr10:uidLastSave="{00000000-0000-0000-0000-000000000000}"/>
  <bookViews>
    <workbookView xWindow="240" yWindow="795" windowWidth="15600" windowHeight="675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79017"/>
</workbook>
</file>

<file path=xl/calcChain.xml><?xml version="1.0" encoding="utf-8"?>
<calcChain xmlns="http://schemas.openxmlformats.org/spreadsheetml/2006/main">
  <c r="E6" i="17" l="1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F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J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M53" i="18" l="1"/>
  <c r="I53" i="18"/>
  <c r="N53" i="18"/>
  <c r="E63" i="18"/>
  <c r="J63" i="18"/>
  <c r="F53" i="18"/>
  <c r="K53" i="18"/>
  <c r="G63" i="18"/>
  <c r="M6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D56" i="18" s="1"/>
  <c r="J55" i="18" s="1"/>
  <c r="H63" i="18"/>
  <c r="D24" i="15"/>
  <c r="C23" i="15"/>
  <c r="E31" i="18" l="1"/>
  <c r="D66" i="18"/>
  <c r="N65" i="18" s="1"/>
  <c r="K65" i="18"/>
  <c r="G65" i="18"/>
  <c r="L65" i="18"/>
  <c r="J65" i="18"/>
  <c r="H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E5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<sst xmlns="http://schemas.openxmlformats.org/spreadsheetml/2006/main" count="1373" uniqueCount="679">
  <si>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</si>
  <si>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</si>
  <si>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</si>
  <si>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</si>
  <si>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</si>
  <si>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</si>
  <si>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</si>
  <si>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</si>
  <si>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</si>
  <si>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</si>
  <si>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</si>
  <si>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</si>
  <si>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</si>
  <si>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</si>
  <si>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</si>
  <si>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</si>
  <si>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</si>
  <si>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</si>
  <si>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</si>
  <si>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</si>
  <si>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</si>
  <si>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</si>
  <si>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</si>
  <si>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</si>
  <si>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</si>
  <si>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</si>
  <si>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</si>
  <si>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</si>
  <si>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</si>
  <si>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</si>
  <si>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</si>
  <si>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</si>
  <si>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</si>
  <si>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</si>
  <si>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</si>
  <si>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</si>
  <si>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</si>
  <si>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</si>
  <si>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</si>
  <si>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</si>
  <si>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</si>
  <si>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</si>
  <si>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</si>
  <si>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</si>
  <si>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</si>
  <si>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</si>
  <si>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</si>
  <si>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</si>
  <si>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</si>
  <si>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</si>
  <si>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</si>
  <si>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</si>
  <si>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</si>
  <si>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</si>
  <si>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</si>
  <si>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</si>
  <si>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</si>
  <si>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</si>
  <si>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</si>
  <si>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</si>
  <si>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</si>
  <si>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</si>
  <si>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</si>
  <si>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</si>
  <si>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</si>
  <si>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</si>
  <si>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</si>
  <si>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</si>
  <si>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</si>
  <si>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</si>
  <si>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</si>
  <si>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</si>
  <si>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</si>
  <si>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</si>
  <si>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</si>
  <si>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</si>
  <si>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</si>
  <si>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</si>
  <si>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</si>
  <si>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</si>
  <si>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</si>
  <si>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</si>
  <si>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</si>
  <si>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</si>
  <si>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</si>
  <si>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</si>
  <si>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</si>
  <si>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</si>
  <si>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</si>
  <si>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</si>
  <si>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</si>
  <si>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</si>
  <si>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</si>
  <si>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</si>
  <si>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</si>
  <si>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</si>
  <si>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</si>
  <si>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</si>
  <si>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</si>
  <si>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</si>
  <si>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</si>
  <si>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</si>
  <si>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</si>
  <si>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</si>
  <si>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</si>
  <si>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</si>
  <si>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</si>
  <si>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</si>
  <si>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</si>
  <si>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</si>
  <si>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</si>
  <si>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</si>
  <si>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</si>
  <si>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</si>
  <si>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</si>
  <si>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</si>
  <si>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</si>
  <si>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</si>
  <si>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</si>
  <si>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</si>
  <si>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</si>
  <si>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</si>
  <si>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</si>
  <si>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</si>
  <si>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</si>
  <si>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</si>
  <si>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</si>
  <si>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</si>
  <si>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</si>
  <si>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</si>
  <si>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</si>
  <si>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</si>
  <si>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</si>
  <si>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</si>
  <si>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</si>
  <si>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</si>
  <si>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</si>
  <si>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</si>
  <si>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</si>
  <si>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</si>
  <si>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</si>
  <si>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</si>
  <si>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</si>
  <si>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</si>
  <si>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</si>
  <si>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</si>
  <si>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</si>
  <si>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</si>
  <si>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</si>
  <si>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</si>
  <si>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</si>
  <si>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</si>
  <si>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</si>
  <si>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</si>
  <si>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</si>
  <si>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</si>
  <si>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</si>
  <si>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</si>
  <si>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</si>
  <si>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</si>
  <si>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</si>
  <si>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</si>
  <si>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</si>
  <si>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</si>
  <si>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</si>
  <si>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</si>
  <si>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</si>
  <si>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</si>
  <si>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</si>
  <si>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</si>
  <si>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</si>
  <si>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</si>
  <si>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</si>
  <si>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</si>
  <si>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</si>
  <si>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</si>
  <si>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</si>
  <si>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</si>
  <si>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</si>
  <si>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</si>
  <si>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</si>
  <si>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</si>
  <si>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</si>
  <si>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</si>
  <si>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</si>
  <si>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</si>
  <si>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</si>
  <si>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</si>
  <si>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</si>
  <si>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</si>
  <si>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</si>
  <si>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</si>
  <si>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</si>
  <si>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</si>
  <si>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</si>
  <si>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</si>
  <si>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</si>
  <si>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</si>
  <si>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</si>
  <si>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</si>
  <si>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</si>
  <si>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</si>
  <si>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</si>
  <si>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</si>
  <si>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</si>
  <si>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</si>
  <si>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</si>
  <si>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</si>
  <si>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</si>
  <si>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</si>
  <si>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</si>
  <si>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</si>
  <si>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</si>
  <si>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</si>
  <si>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</si>
  <si>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</si>
  <si>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</si>
  <si>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</si>
  <si>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</si>
  <si>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</si>
  <si>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</si>
  <si>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</si>
  <si>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</si>
  <si>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</si>
  <si>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</si>
  <si>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</si>
  <si>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</si>
  <si>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</si>
  <si>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</si>
  <si>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</si>
  <si>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</si>
  <si>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</si>
  <si>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</si>
  <si>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</si>
  <si>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</si>
  <si>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</si>
  <si>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</si>
  <si>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</si>
  <si>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</si>
  <si>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</si>
  <si>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</si>
  <si>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</si>
  <si>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</si>
  <si>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</si>
  <si>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</si>
  <si>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</si>
  <si>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</si>
  <si>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</si>
  <si>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</si>
  <si>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</si>
  <si>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</si>
  <si>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</si>
  <si>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</si>
  <si>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</si>
  <si>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</si>
  <si>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</si>
  <si>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</si>
  <si>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</si>
  <si>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</si>
  <si>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</si>
  <si>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</si>
  <si>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</si>
  <si>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</si>
  <si>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</si>
  <si>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</si>
  <si>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</si>
  <si>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</si>
  <si>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</si>
  <si>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</si>
  <si>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</si>
  <si>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</si>
  <si>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</si>
  <si>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</si>
  <si>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</si>
  <si>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</si>
  <si>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</si>
  <si>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</si>
  <si>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</si>
  <si>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</si>
  <si>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</si>
  <si>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</si>
  <si>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</si>
  <si>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</si>
  <si>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</si>
  <si>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</si>
  <si>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</si>
  <si>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</si>
  <si>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</si>
  <si>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</si>
  <si>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</si>
  <si>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</si>
  <si>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</si>
  <si>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</si>
  <si>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</si>
  <si>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</si>
  <si>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</si>
  <si>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</si>
  <si>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</si>
  <si>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</si>
  <si>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</si>
  <si>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</si>
  <si>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</si>
  <si>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</si>
  <si>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</si>
  <si>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</si>
  <si>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</si>
  <si>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</si>
  <si>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</si>
  <si>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</si>
  <si>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</si>
  <si>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</si>
  <si>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</si>
  <si>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</si>
  <si>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</si>
  <si>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</si>
  <si>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</si>
  <si>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</si>
  <si>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</si>
  <si>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</si>
  <si>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</si>
  <si>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</si>
  <si>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</si>
  <si>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</si>
  <si>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</si>
  <si>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</si>
  <si>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</si>
  <si>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</si>
  <si>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</si>
  <si>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</si>
  <si>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</si>
  <si>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</si>
  <si>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</si>
  <si>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</si>
  <si>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</si>
  <si>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</si>
  <si>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</si>
  <si>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</si>
  <si>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</si>
  <si>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</si>
  <si>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</si>
  <si>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</si>
  <si>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</si>
  <si>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</si>
  <si>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</si>
  <si>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</si>
  <si>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</si>
  <si>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</si>
  <si>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</si>
  <si>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</si>
  <si>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</si>
  <si>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</si>
  <si>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</si>
  <si>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</si>
  <si>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</si>
  <si>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</si>
  <si>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</si>
  <si>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</si>
  <si>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</si>
  <si>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</si>
  <si>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</si>
  <si>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</si>
  <si>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</si>
  <si>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</si>
  <si>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</si>
  <si>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</si>
  <si>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</si>
  <si>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</si>
  <si>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</si>
  <si>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</si>
  <si>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</si>
  <si>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</si>
  <si>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</si>
  <si>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</si>
  <si>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</si>
  <si>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</si>
  <si>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</si>
  <si>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</si>
  <si>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</si>
  <si>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</si>
  <si>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</si>
  <si>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</si>
  <si>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</si>
  <si>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</si>
  <si>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</si>
  <si>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</si>
  <si>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</si>
  <si>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</si>
  <si>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</si>
  <si>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</si>
  <si>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</si>
  <si>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</si>
  <si>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</si>
  <si>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</si>
  <si>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</si>
  <si>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</si>
  <si>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</si>
  <si>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</si>
  <si>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</si>
  <si>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</si>
  <si>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</si>
  <si>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</si>
  <si>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</si>
  <si>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</si>
  <si>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</si>
  <si>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</si>
  <si>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</si>
  <si>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</si>
  <si>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</si>
  <si>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</si>
  <si>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</si>
  <si>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</si>
  <si>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</si>
  <si>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</si>
  <si>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</si>
  <si>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</si>
  <si>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</si>
  <si>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</si>
  <si>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</si>
  <si>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</si>
  <si>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</si>
  <si>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</si>
  <si>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</si>
  <si>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</si>
  <si>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</si>
  <si>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</si>
  <si>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</si>
  <si>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</si>
  <si>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</si>
  <si>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</si>
  <si>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</si>
  <si>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</si>
  <si>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</si>
  <si>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</si>
  <si>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</si>
  <si>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</si>
  <si>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</si>
  <si>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</si>
  <si>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</si>
  <si>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</si>
  <si>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</si>
  <si>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</si>
  <si>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</si>
  <si>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</si>
  <si>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</si>
  <si>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</si>
  <si>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</si>
  <si>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</si>
  <si>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</si>
  <si>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</si>
  <si>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</si>
  <si>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</si>
  <si>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</si>
  <si>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</si>
  <si>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</si>
  <si>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</si>
  <si>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</si>
  <si>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</si>
  <si>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</si>
  <si>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</si>
  <si>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</si>
  <si>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</si>
  <si>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</si>
  <si>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</si>
  <si>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</si>
  <si>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</si>
  <si>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</si>
  <si>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</si>
  <si>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</si>
  <si>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</si>
  <si>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</si>
  <si>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</si>
  <si>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</si>
  <si>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</si>
  <si>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</si>
  <si>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</si>
  <si>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</si>
  <si>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</si>
  <si>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</si>
  <si>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</si>
  <si>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</si>
  <si>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</si>
  <si>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</si>
  <si>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</si>
  <si>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</si>
  <si>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</si>
  <si>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</si>
  <si>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</si>
  <si>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</si>
  <si>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</si>
  <si>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</si>
  <si>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</si>
  <si>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</si>
  <si>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</si>
  <si>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</si>
  <si>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</si>
  <si>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</si>
  <si>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</si>
  <si>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</si>
  <si>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</si>
  <si>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</si>
  <si>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</si>
  <si>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</si>
  <si>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</si>
  <si>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</si>
  <si>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</si>
  <si>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</si>
  <si>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</si>
  <si>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</si>
  <si>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</si>
  <si>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</si>
  <si>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</si>
  <si>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</si>
  <si>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</si>
  <si>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</si>
  <si>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</si>
  <si>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</si>
  <si>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</si>
  <si>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</si>
  <si>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</si>
  <si>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</si>
  <si>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</si>
  <si>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</si>
  <si>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</si>
  <si>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</si>
  <si>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</si>
  <si>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</si>
  <si>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</si>
  <si>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</si>
  <si>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</si>
  <si>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</si>
  <si>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</si>
  <si>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</si>
  <si>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</si>
  <si>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</si>
  <si>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</si>
  <si>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</si>
  <si>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</si>
  <si>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</si>
  <si>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</si>
  <si>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</si>
  <si>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</si>
  <si>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</si>
  <si>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</si>
  <si>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</si>
  <si>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</si>
  <si>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</si>
  <si>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</si>
  <si>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</si>
  <si>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</si>
  <si>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</si>
  <si>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</si>
  <si>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</si>
  <si>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</si>
  <si>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</si>
  <si>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</si>
  <si>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</si>
  <si>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</si>
  <si>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</si>
  <si>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</si>
  <si>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</si>
  <si>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</si>
  <si>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</si>
  <si>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</si>
  <si>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</si>
  <si>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</si>
  <si>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</si>
  <si>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</si>
  <si>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</si>
  <si>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</si>
  <si>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</si>
  <si>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</si>
  <si>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</si>
  <si>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</si>
  <si>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</si>
  <si>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</si>
  <si>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</si>
  <si>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</si>
  <si>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</si>
  <si>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</si>
  <si>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</si>
  <si>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</si>
  <si>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</si>
  <si>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</si>
  <si>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</si>
  <si>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</si>
  <si>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</si>
  <si>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</si>
  <si>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</si>
  <si>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</si>
  <si>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</si>
  <si>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</si>
  <si>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</si>
  <si>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</si>
  <si>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</si>
  <si>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</si>
  <si>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</si>
  <si>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</si>
  <si>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</si>
  <si>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</si>
  <si>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</si>
  <si>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</si>
  <si>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</si>
  <si>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</si>
  <si>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</si>
  <si>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</si>
  <si>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</si>
  <si>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</si>
  <si>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</si>
  <si>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</si>
  <si>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</si>
  <si>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</si>
  <si>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</si>
  <si>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</si>
  <si>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</si>
  <si>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</si>
  <si>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</si>
  <si>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</si>
  <si>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</si>
  <si>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</si>
  <si>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</si>
  <si>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</si>
  <si>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</si>
  <si>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</si>
  <si>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</si>
  <si>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</si>
  <si>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</si>
  <si>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</si>
  <si>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</si>
  <si>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</si>
  <si>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</si>
  <si>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</si>
  <si>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</si>
  <si>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</si>
  <si>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</si>
  <si>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</si>
  <si>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</si>
  <si>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</si>
  <si>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</si>
  <si>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</si>
  <si>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</si>
  <si>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</si>
  <si>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</si>
  <si>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</si>
  <si>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</si>
  <si>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</si>
  <si>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</si>
  <si>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</si>
  <si>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</si>
  <si>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</si>
  <si>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</si>
  <si>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</si>
  <si>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</si>
  <si>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</si>
  <si>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</si>
  <si>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</si>
  <si>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</si>
  <si>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</si>
  <si>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Stade GmbH</t>
  </si>
  <si>
    <t>DE_HEF04</t>
  </si>
  <si>
    <t>DE_HMF04</t>
  </si>
  <si>
    <t>GEW Wilhelmshaven GmbH</t>
  </si>
  <si>
    <t>Nahestraße 6</t>
  </si>
  <si>
    <t>Wilhelmshaven</t>
  </si>
  <si>
    <t>Bodo Schmidt</t>
  </si>
  <si>
    <t>netznutzung@gew-wilhelmshaven.de</t>
  </si>
  <si>
    <t>04421/404-740</t>
  </si>
  <si>
    <t>GASPOOLNL7009431</t>
  </si>
  <si>
    <t>Wilhelmshaven 101280</t>
  </si>
  <si>
    <t>DE_GMK03</t>
  </si>
  <si>
    <t>DE_GGA03</t>
  </si>
  <si>
    <t>DE_GGB03</t>
  </si>
  <si>
    <t>DE_GHA03</t>
  </si>
  <si>
    <t>DE_GHD03</t>
  </si>
  <si>
    <t>DE_GKO03</t>
  </si>
  <si>
    <t>DE_GPD03</t>
  </si>
  <si>
    <t>DE_GWA03</t>
  </si>
  <si>
    <t>DE_GBA03</t>
  </si>
  <si>
    <t>DE_GBD03</t>
  </si>
  <si>
    <t>DE_GBH03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</si>
</sst>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  <numFmt numFmtId="195" formatCode="0_ ;\-0\ 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95" fontId="0" fillId="33" borderId="17" xfId="1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399097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469</v>
      </c>
    </row>
    <row r="3" spans="2:7" x14ac:dyDescent="0.25"/>
    <row r="4" spans="2:7" x14ac:dyDescent="0.25">
      <c r="B4" s="8" t="s">
        <v>464</v>
      </c>
    </row>
    <row r="5" spans="2:7" x14ac:dyDescent="0.25">
      <c r="B5" s="8" t="s">
        <v>465</v>
      </c>
    </row>
    <row r="6" spans="2:7" x14ac:dyDescent="0.25"/>
    <row r="7" spans="2:7" x14ac:dyDescent="0.25">
      <c r="B7" t="s">
        <v>340</v>
      </c>
    </row>
    <row r="8" spans="2:7" s="8" customFormat="1" x14ac:dyDescent="0.25">
      <c r="B8" s="8" t="s">
        <v>466</v>
      </c>
    </row>
    <row r="9" spans="2:7" s="8" customFormat="1" x14ac:dyDescent="0.25"/>
    <row r="10" spans="2:7" s="8" customFormat="1" x14ac:dyDescent="0.25">
      <c r="B10" s="14" t="s">
        <v>451</v>
      </c>
    </row>
    <row r="11" spans="2:7" s="8" customFormat="1" x14ac:dyDescent="0.25">
      <c r="B11" s="8" t="s">
        <v>503</v>
      </c>
    </row>
    <row r="12" spans="2:7" s="8" customFormat="1" x14ac:dyDescent="0.25">
      <c r="B12" s="8" t="s">
        <v>504</v>
      </c>
    </row>
    <row r="13" spans="2:7" s="8" customFormat="1" x14ac:dyDescent="0.25">
      <c r="B13" s="8" t="s">
        <v>512</v>
      </c>
    </row>
    <row r="14" spans="2:7" s="8" customFormat="1" x14ac:dyDescent="0.25"/>
    <row r="15" spans="2:7" x14ac:dyDescent="0.25">
      <c r="B15" s="20" t="s">
        <v>468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347</v>
      </c>
      <c r="C17" s="15"/>
    </row>
    <row r="18" spans="2:12" s="8" customFormat="1" x14ac:dyDescent="0.25">
      <c r="B18" s="18" t="s">
        <v>341</v>
      </c>
      <c r="C18" s="15"/>
    </row>
    <row r="19" spans="2:12" s="8" customFormat="1" x14ac:dyDescent="0.25">
      <c r="B19" s="18" t="s">
        <v>342</v>
      </c>
      <c r="C19" s="15"/>
    </row>
    <row r="20" spans="2:12" x14ac:dyDescent="0.25">
      <c r="B20" s="17"/>
      <c r="C20" s="15"/>
    </row>
    <row r="21" spans="2:12" x14ac:dyDescent="0.25">
      <c r="B21" s="3" t="s">
        <v>467</v>
      </c>
      <c r="C21" s="15"/>
    </row>
    <row r="22" spans="2:12" s="8" customFormat="1" x14ac:dyDescent="0.25">
      <c r="B22" s="18" t="s">
        <v>343</v>
      </c>
      <c r="C22" s="15"/>
    </row>
    <row r="23" spans="2:12" s="8" customFormat="1" x14ac:dyDescent="0.25">
      <c r="B23" s="18" t="s">
        <v>344</v>
      </c>
      <c r="C23" s="15"/>
    </row>
    <row r="24" spans="2:12" x14ac:dyDescent="0.25">
      <c r="B24" s="17"/>
      <c r="C24" s="15"/>
    </row>
    <row r="25" spans="2:12" x14ac:dyDescent="0.25">
      <c r="B25" s="17" t="s">
        <v>348</v>
      </c>
      <c r="C25" s="15"/>
    </row>
    <row r="26" spans="2:12" x14ac:dyDescent="0.25">
      <c r="B26" s="18" t="s">
        <v>345</v>
      </c>
      <c r="C26" s="15"/>
      <c r="F26" s="8"/>
      <c r="G26" s="8"/>
      <c r="H26" s="8"/>
    </row>
    <row r="27" spans="2:12" x14ac:dyDescent="0.25">
      <c r="B27" s="18" t="s">
        <v>346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349</v>
      </c>
      <c r="C29" s="19">
        <v>42185</v>
      </c>
      <c r="E29" s="8"/>
      <c r="F29" s="8"/>
      <c r="G29" s="8"/>
      <c r="H29" s="8"/>
    </row>
    <row r="30" spans="2:12" x14ac:dyDescent="0.25">
      <c r="B30" s="21" t="s">
        <v>350</v>
      </c>
      <c r="C30" s="339" t="s">
        <v>656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3" spans="6:6" hidden="1" x14ac:dyDescent="0.25"/>
    <row r="34" spans="6:6" hidden="1" x14ac:dyDescent="0.25"/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E8" sqref="E8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259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7" t="s">
        <v>507</v>
      </c>
      <c r="D4" s="27">
        <v>42552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7"/>
      <c r="G5" s="2"/>
    </row>
    <row r="6" spans="1:8" ht="15" customHeight="1" x14ac:dyDescent="0.25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7"/>
      <c r="G8" s="2"/>
    </row>
    <row r="9" spans="1:8" ht="15" customHeight="1" x14ac:dyDescent="0.25">
      <c r="B9" s="23" t="s">
        <v>71</v>
      </c>
      <c r="C9" s="5" t="s">
        <v>262</v>
      </c>
      <c r="D9" s="41" t="s">
        <v>660</v>
      </c>
      <c r="E9" s="15"/>
      <c r="F9" s="47"/>
      <c r="G9" s="2"/>
    </row>
    <row r="10" spans="1:8" ht="15" customHeight="1" x14ac:dyDescent="0.25">
      <c r="B10" s="22"/>
      <c r="C10" s="5"/>
      <c r="D10" s="28"/>
      <c r="E10" s="15"/>
      <c r="F10" s="47"/>
      <c r="G10" s="2"/>
    </row>
    <row r="11" spans="1:8" s="2" customFormat="1" ht="15" customHeight="1" x14ac:dyDescent="0.25">
      <c r="A11" s="8"/>
      <c r="B11" s="23" t="s">
        <v>72</v>
      </c>
      <c r="C11" s="4" t="s">
        <v>489</v>
      </c>
      <c r="D11" s="340">
        <v>9870094300000</v>
      </c>
      <c r="E11" s="15"/>
      <c r="F11" s="47"/>
    </row>
    <row r="12" spans="1:8" s="2" customFormat="1" ht="15" customHeight="1" x14ac:dyDescent="0.25">
      <c r="A12" s="8"/>
      <c r="B12" s="22"/>
      <c r="C12" s="5"/>
      <c r="D12" s="28"/>
      <c r="E12" s="15"/>
      <c r="F12" s="47"/>
    </row>
    <row r="13" spans="1:8" ht="15" customHeight="1" x14ac:dyDescent="0.25">
      <c r="B13" s="23" t="s">
        <v>73</v>
      </c>
      <c r="C13" s="5" t="s">
        <v>263</v>
      </c>
      <c r="D13" s="41" t="s">
        <v>661</v>
      </c>
      <c r="E13" s="15"/>
      <c r="F13" s="47"/>
      <c r="G13" s="2"/>
    </row>
    <row r="14" spans="1:8" ht="15" customHeight="1" x14ac:dyDescent="0.25">
      <c r="B14" s="22"/>
      <c r="C14" s="5"/>
      <c r="D14" s="29"/>
      <c r="E14" s="15"/>
      <c r="F14" s="47"/>
      <c r="G14" s="2"/>
    </row>
    <row r="15" spans="1:8" ht="15" customHeight="1" x14ac:dyDescent="0.25">
      <c r="B15" s="23" t="s">
        <v>74</v>
      </c>
      <c r="C15" s="5" t="s">
        <v>264</v>
      </c>
      <c r="D15" s="43">
        <v>26382</v>
      </c>
      <c r="E15" s="15"/>
      <c r="F15" s="47"/>
      <c r="G15" s="2"/>
    </row>
    <row r="16" spans="1:8" ht="15" customHeight="1" x14ac:dyDescent="0.25">
      <c r="B16" s="22"/>
      <c r="C16" s="5"/>
      <c r="D16" s="29"/>
      <c r="E16" s="15"/>
      <c r="F16" s="47"/>
      <c r="G16" s="2"/>
    </row>
    <row r="17" spans="1:15" ht="15" customHeight="1" x14ac:dyDescent="0.25">
      <c r="B17" s="23" t="s">
        <v>75</v>
      </c>
      <c r="C17" s="5" t="s">
        <v>265</v>
      </c>
      <c r="D17" s="41" t="s">
        <v>662</v>
      </c>
      <c r="E17" s="15"/>
      <c r="F17" s="47"/>
      <c r="G17" s="2"/>
    </row>
    <row r="18" spans="1:15" ht="15" customHeight="1" x14ac:dyDescent="0.25">
      <c r="B18" s="22"/>
      <c r="C18" s="5"/>
      <c r="D18" s="29"/>
      <c r="E18" s="15"/>
      <c r="F18" s="47"/>
      <c r="G18" s="2"/>
    </row>
    <row r="19" spans="1:15" ht="15" customHeight="1" x14ac:dyDescent="0.25">
      <c r="B19" s="23" t="s">
        <v>76</v>
      </c>
      <c r="C19" s="5" t="s">
        <v>266</v>
      </c>
      <c r="D19" s="41" t="s">
        <v>663</v>
      </c>
      <c r="E19" s="15"/>
      <c r="F19" s="47"/>
      <c r="G19" s="2"/>
    </row>
    <row r="20" spans="1:15" ht="15" customHeight="1" x14ac:dyDescent="0.25">
      <c r="B20" s="22"/>
      <c r="C20" s="5"/>
      <c r="D20" s="29"/>
      <c r="E20" s="15"/>
      <c r="F20" s="47"/>
      <c r="G20" s="2"/>
    </row>
    <row r="21" spans="1:15" ht="15" customHeight="1" x14ac:dyDescent="0.25">
      <c r="B21" s="23" t="s">
        <v>77</v>
      </c>
      <c r="C21" s="5" t="s">
        <v>267</v>
      </c>
      <c r="D21" s="44" t="s">
        <v>664</v>
      </c>
      <c r="E21" s="15"/>
      <c r="F21" s="47"/>
      <c r="G21" s="2"/>
    </row>
    <row r="22" spans="1:15" ht="15" customHeight="1" x14ac:dyDescent="0.25">
      <c r="B22" s="22"/>
      <c r="C22" s="5"/>
      <c r="D22" s="29"/>
      <c r="E22" s="15"/>
      <c r="F22" s="47"/>
      <c r="G22" s="2"/>
    </row>
    <row r="23" spans="1:15" ht="15" customHeight="1" x14ac:dyDescent="0.25">
      <c r="B23" s="23" t="s">
        <v>78</v>
      </c>
      <c r="C23" s="5" t="s">
        <v>268</v>
      </c>
      <c r="D23" s="41" t="s">
        <v>665</v>
      </c>
      <c r="E23" s="15"/>
      <c r="F23" s="47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80</v>
      </c>
      <c r="C27" s="15" t="s">
        <v>463</v>
      </c>
      <c r="D27" s="42" t="s">
        <v>398</v>
      </c>
      <c r="E27" s="39"/>
      <c r="F27" s="11"/>
    </row>
    <row r="28" spans="1:15" x14ac:dyDescent="0.25">
      <c r="B28" s="15"/>
      <c r="C28" s="66" t="s">
        <v>506</v>
      </c>
      <c r="D28" s="48" t="str">
        <f>IF(D27&lt;&gt;C28,VLOOKUP(D27,$C$29:$D$48,2,FALSE),C28)</f>
        <v>GEW Wilhelmshaven GmbH</v>
      </c>
      <c r="E28" s="38"/>
      <c r="F28" s="11"/>
      <c r="G28" s="2"/>
    </row>
    <row r="29" spans="1:15" x14ac:dyDescent="0.25">
      <c r="B29" s="15"/>
      <c r="C29" s="22" t="s">
        <v>398</v>
      </c>
      <c r="D29" s="45" t="s">
        <v>660</v>
      </c>
      <c r="E29" s="40"/>
      <c r="F29" s="11"/>
      <c r="G29" s="2"/>
    </row>
    <row r="30" spans="1:15" x14ac:dyDescent="0.25">
      <c r="B30" s="15"/>
      <c r="C30" s="22" t="s">
        <v>399</v>
      </c>
      <c r="D30" s="45"/>
      <c r="E30" s="40"/>
      <c r="F30" s="47"/>
      <c r="G30" s="2"/>
    </row>
    <row r="31" spans="1:15" x14ac:dyDescent="0.25">
      <c r="B31" s="15"/>
      <c r="C31" s="22" t="s">
        <v>424</v>
      </c>
      <c r="D31" s="46"/>
      <c r="E31" s="40"/>
      <c r="F31" s="47"/>
      <c r="G31" s="2"/>
    </row>
    <row r="32" spans="1:15" x14ac:dyDescent="0.25">
      <c r="B32" s="15"/>
      <c r="C32" s="22" t="s">
        <v>425</v>
      </c>
      <c r="D32" s="46"/>
      <c r="E32" s="40"/>
      <c r="F32" s="47"/>
      <c r="G32" s="2"/>
    </row>
    <row r="33" spans="2:7" x14ac:dyDescent="0.25">
      <c r="B33" s="15"/>
      <c r="C33" s="22" t="s">
        <v>426</v>
      </c>
      <c r="D33" s="45"/>
      <c r="E33" s="40"/>
      <c r="F33" s="47"/>
      <c r="G33" s="2"/>
    </row>
    <row r="34" spans="2:7" x14ac:dyDescent="0.25">
      <c r="B34" s="15"/>
      <c r="C34" s="22" t="s">
        <v>427</v>
      </c>
      <c r="D34" s="46"/>
      <c r="E34" s="40"/>
      <c r="F34" s="47"/>
      <c r="G34" s="2"/>
    </row>
    <row r="35" spans="2:7" x14ac:dyDescent="0.25">
      <c r="B35" s="15"/>
      <c r="C35" s="22" t="s">
        <v>428</v>
      </c>
      <c r="D35" s="46"/>
      <c r="E35" s="40"/>
      <c r="F35" s="47"/>
      <c r="G35" s="2"/>
    </row>
    <row r="36" spans="2:7" x14ac:dyDescent="0.25">
      <c r="B36" s="15"/>
      <c r="C36" s="22" t="s">
        <v>429</v>
      </c>
      <c r="D36" s="46"/>
      <c r="E36" s="40"/>
      <c r="F36" s="47"/>
      <c r="G36" s="2"/>
    </row>
    <row r="37" spans="2:7" x14ac:dyDescent="0.25">
      <c r="B37" s="15"/>
      <c r="C37" s="22" t="s">
        <v>430</v>
      </c>
      <c r="D37" s="46"/>
      <c r="E37" s="40"/>
      <c r="F37" s="47"/>
      <c r="G37" s="2"/>
    </row>
    <row r="38" spans="2:7" x14ac:dyDescent="0.25">
      <c r="B38" s="15"/>
      <c r="C38" s="22" t="s">
        <v>435</v>
      </c>
      <c r="D38" s="46"/>
      <c r="E38" s="40"/>
      <c r="F38" s="47"/>
      <c r="G38" s="2"/>
    </row>
    <row r="39" spans="2:7" x14ac:dyDescent="0.25">
      <c r="B39" s="15"/>
      <c r="C39" s="22" t="s">
        <v>436</v>
      </c>
      <c r="D39" s="46"/>
      <c r="E39" s="40"/>
      <c r="F39" s="47"/>
      <c r="G39" s="2"/>
    </row>
    <row r="40" spans="2:7" x14ac:dyDescent="0.25">
      <c r="B40" s="15"/>
      <c r="C40" s="22" t="s">
        <v>437</v>
      </c>
      <c r="D40" s="46"/>
      <c r="E40" s="40"/>
      <c r="F40" s="47"/>
      <c r="G40" s="2"/>
    </row>
    <row r="41" spans="2:7" x14ac:dyDescent="0.25">
      <c r="B41" s="15"/>
      <c r="C41" s="22" t="s">
        <v>438</v>
      </c>
      <c r="D41" s="46"/>
      <c r="E41" s="40"/>
      <c r="F41" s="47"/>
      <c r="G41" s="2"/>
    </row>
    <row r="42" spans="2:7" x14ac:dyDescent="0.25">
      <c r="B42" s="15"/>
      <c r="C42" s="22" t="s">
        <v>439</v>
      </c>
      <c r="D42" s="46"/>
      <c r="E42" s="40"/>
      <c r="F42" s="47"/>
      <c r="G42" s="2"/>
    </row>
    <row r="43" spans="2:7" x14ac:dyDescent="0.25">
      <c r="B43" s="15"/>
      <c r="C43" s="22" t="s">
        <v>440</v>
      </c>
      <c r="D43" s="46"/>
      <c r="E43" s="40"/>
      <c r="F43" s="47"/>
      <c r="G43" s="2"/>
    </row>
    <row r="44" spans="2:7" x14ac:dyDescent="0.25">
      <c r="B44" s="15"/>
      <c r="C44" s="22" t="s">
        <v>441</v>
      </c>
      <c r="D44" s="46"/>
      <c r="E44" s="40"/>
      <c r="F44" s="47"/>
      <c r="G44" s="2"/>
    </row>
    <row r="45" spans="2:7" x14ac:dyDescent="0.25">
      <c r="B45" s="15"/>
      <c r="C45" s="22" t="s">
        <v>442</v>
      </c>
      <c r="D45" s="46"/>
      <c r="E45" s="40"/>
      <c r="F45" s="47"/>
      <c r="G45" s="2"/>
    </row>
    <row r="46" spans="2:7" x14ac:dyDescent="0.25">
      <c r="B46" s="15"/>
      <c r="C46" s="22" t="s">
        <v>443</v>
      </c>
      <c r="D46" s="46"/>
      <c r="E46" s="40"/>
      <c r="F46" s="47"/>
    </row>
    <row r="47" spans="2:7" x14ac:dyDescent="0.25">
      <c r="B47" s="15"/>
      <c r="C47" s="22" t="s">
        <v>444</v>
      </c>
      <c r="D47" s="46"/>
      <c r="E47" s="40"/>
      <c r="F47" s="47"/>
    </row>
    <row r="48" spans="2:7" x14ac:dyDescent="0.25">
      <c r="B48" s="15"/>
      <c r="C48" s="22" t="s">
        <v>445</v>
      </c>
      <c r="D48" s="46"/>
      <c r="E48" s="40"/>
      <c r="F48" s="47"/>
    </row>
    <row r="49" spans="2:6" x14ac:dyDescent="0.25">
      <c r="B49" s="15"/>
      <c r="C49" s="15"/>
      <c r="D49" s="15"/>
      <c r="E49" s="15"/>
      <c r="F49" s="15"/>
    </row>
    <row r="50" spans="2:6" x14ac:dyDescent="0.25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E35" sqref="E35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270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6" t="s">
        <v>449</v>
      </c>
      <c r="D5" s="58" t="str">
        <f>Netzbetreiber!$D$9</f>
        <v>GEW Wilhelmshaven GmbH</v>
      </c>
      <c r="H5" s="68"/>
      <c r="I5" s="68"/>
      <c r="J5" s="68"/>
      <c r="K5" s="68"/>
    </row>
    <row r="6" spans="2:15" ht="15" customHeight="1" x14ac:dyDescent="0.25">
      <c r="B6" s="22"/>
      <c r="C6" s="62" t="s">
        <v>448</v>
      </c>
      <c r="D6" s="58" t="str">
        <f>Netzbetreiber!D28</f>
        <v>GEW Wilhelmshaven GmbH</v>
      </c>
      <c r="E6" s="15"/>
      <c r="H6" s="68"/>
      <c r="I6" s="68"/>
      <c r="J6" s="68"/>
      <c r="K6" s="68"/>
    </row>
    <row r="7" spans="2:15" ht="15" customHeight="1" x14ac:dyDescent="0.25">
      <c r="B7" s="22"/>
      <c r="C7" s="60" t="s">
        <v>492</v>
      </c>
      <c r="D7" s="341">
        <f>Netzbetreiber!$D$11</f>
        <v>9870094300000</v>
      </c>
      <c r="E7" s="15"/>
      <c r="H7" s="68"/>
      <c r="I7" s="68"/>
      <c r="J7" s="68"/>
      <c r="K7" s="68"/>
    </row>
    <row r="8" spans="2:15" ht="15" customHeight="1" x14ac:dyDescent="0.25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 x14ac:dyDescent="0.25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 t="s">
        <v>81</v>
      </c>
      <c r="C11" s="5" t="s">
        <v>269</v>
      </c>
      <c r="D11" s="33" t="s">
        <v>260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 x14ac:dyDescent="0.25">
      <c r="B12" s="22"/>
      <c r="C12" s="5"/>
      <c r="D12" s="29"/>
      <c r="E12" s="15"/>
      <c r="H12" s="68"/>
      <c r="I12" s="68"/>
      <c r="J12" s="68"/>
      <c r="K12" s="68"/>
    </row>
    <row r="13" spans="2:15" ht="15" customHeight="1" x14ac:dyDescent="0.25">
      <c r="B13" s="7" t="s">
        <v>82</v>
      </c>
      <c r="C13" s="5" t="s">
        <v>621</v>
      </c>
      <c r="D13" s="33" t="s">
        <v>623</v>
      </c>
      <c r="E13" s="15"/>
      <c r="H13" s="277" t="s">
        <v>622</v>
      </c>
      <c r="I13" s="277" t="s">
        <v>623</v>
      </c>
      <c r="J13" s="68"/>
      <c r="K13" s="68"/>
    </row>
    <row r="14" spans="2:15" ht="15" customHeight="1" x14ac:dyDescent="0.25">
      <c r="B14" s="22"/>
      <c r="C14" s="5"/>
      <c r="D14" s="29"/>
      <c r="E14" s="15"/>
      <c r="H14" s="68"/>
      <c r="I14" s="68"/>
      <c r="J14" s="68"/>
      <c r="K14" s="68"/>
    </row>
    <row r="15" spans="2:15" ht="15" customHeight="1" x14ac:dyDescent="0.25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 x14ac:dyDescent="0.25">
      <c r="B16" s="23"/>
      <c r="C16" s="5" t="s">
        <v>433</v>
      </c>
      <c r="D16" s="42" t="s">
        <v>666</v>
      </c>
      <c r="E16" s="15"/>
      <c r="H16" s="273"/>
      <c r="I16" s="273"/>
      <c r="J16" s="273"/>
      <c r="K16" s="273"/>
      <c r="L16" s="274"/>
    </row>
    <row r="17" spans="2:16" ht="15" customHeight="1" x14ac:dyDescent="0.25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 x14ac:dyDescent="0.25">
      <c r="B18" s="7" t="s">
        <v>84</v>
      </c>
      <c r="C18" s="31" t="s">
        <v>371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 x14ac:dyDescent="0.25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581</v>
      </c>
      <c r="I19" s="276" t="s">
        <v>493</v>
      </c>
      <c r="J19" s="273"/>
      <c r="K19" s="273"/>
      <c r="L19" s="274"/>
    </row>
    <row r="20" spans="2:16" ht="15" customHeight="1" x14ac:dyDescent="0.25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 x14ac:dyDescent="0.25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 x14ac:dyDescent="0.25">
      <c r="B22" s="7" t="s">
        <v>85</v>
      </c>
      <c r="C22" s="8" t="s">
        <v>619</v>
      </c>
      <c r="D22" s="49" t="s">
        <v>615</v>
      </c>
      <c r="E22" s="15"/>
      <c r="H22" s="273" t="s">
        <v>615</v>
      </c>
      <c r="I22" s="273" t="s">
        <v>616</v>
      </c>
      <c r="J22" s="273"/>
      <c r="K22" s="8"/>
      <c r="L22" s="274"/>
    </row>
    <row r="23" spans="2:16" ht="15" customHeight="1" x14ac:dyDescent="0.25">
      <c r="B23" s="7"/>
      <c r="C23" s="8" t="str">
        <f>HLOOKUP(D22,H22:I23,2,0)</f>
        <v>nach TU-München Verfahren</v>
      </c>
      <c r="D23" s="49" t="s">
        <v>624</v>
      </c>
      <c r="E23" s="15"/>
      <c r="H23" s="273" t="s">
        <v>618</v>
      </c>
      <c r="I23" s="8" t="s">
        <v>614</v>
      </c>
      <c r="J23" s="8"/>
      <c r="K23" s="8"/>
      <c r="L23" s="274"/>
    </row>
    <row r="24" spans="2:16" ht="15" customHeight="1" x14ac:dyDescent="0.25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3" t="s">
        <v>617</v>
      </c>
      <c r="I24" s="273" t="s">
        <v>624</v>
      </c>
      <c r="J24" s="8"/>
      <c r="K24" s="8"/>
      <c r="L24" s="276" t="s">
        <v>625</v>
      </c>
      <c r="M24" s="276" t="s">
        <v>627</v>
      </c>
      <c r="N24" s="276" t="s">
        <v>626</v>
      </c>
      <c r="O24" s="8"/>
      <c r="P24" s="274"/>
    </row>
    <row r="25" spans="2:16" ht="15" customHeight="1" x14ac:dyDescent="0.25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 x14ac:dyDescent="0.25">
      <c r="B26" s="7" t="s">
        <v>373</v>
      </c>
      <c r="C26" s="6" t="s">
        <v>584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 x14ac:dyDescent="0.25">
      <c r="B27" s="7"/>
      <c r="C27" s="6" t="s">
        <v>628</v>
      </c>
      <c r="D27" s="42" t="s">
        <v>629</v>
      </c>
      <c r="E27" s="15"/>
      <c r="H27" s="309" t="s">
        <v>629</v>
      </c>
      <c r="I27" s="275" t="s">
        <v>630</v>
      </c>
      <c r="J27" s="275" t="s">
        <v>631</v>
      </c>
      <c r="K27" s="273"/>
      <c r="L27" s="274"/>
    </row>
    <row r="28" spans="2:16" ht="15" customHeight="1" x14ac:dyDescent="0.25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632</v>
      </c>
      <c r="I28" s="276" t="s">
        <v>633</v>
      </c>
      <c r="J28" s="276" t="s">
        <v>634</v>
      </c>
      <c r="K28" s="273"/>
      <c r="L28" s="274"/>
    </row>
    <row r="29" spans="2:16" ht="15" customHeight="1" x14ac:dyDescent="0.25">
      <c r="B29" s="22"/>
      <c r="C29" s="15" t="str">
        <f>HLOOKUP(D27,H27:J29,3,0)</f>
        <v xml:space="preserve"> </v>
      </c>
      <c r="D29" s="311"/>
      <c r="E29" s="15"/>
      <c r="H29" s="276" t="s">
        <v>635</v>
      </c>
      <c r="I29" s="276" t="s">
        <v>636</v>
      </c>
      <c r="J29" s="276" t="s">
        <v>637</v>
      </c>
      <c r="K29" s="273"/>
      <c r="L29" s="274"/>
    </row>
    <row r="30" spans="2:16" ht="15" customHeight="1" x14ac:dyDescent="0.25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 x14ac:dyDescent="0.25">
      <c r="B31" s="7" t="s">
        <v>498</v>
      </c>
      <c r="C31" s="6" t="s">
        <v>583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 x14ac:dyDescent="0.25">
      <c r="B32" s="22"/>
      <c r="C32" s="15" t="str">
        <f>HLOOKUP(D31,$H$31:$I$32,2,0)</f>
        <v>=&gt; Q(Allokation)  =  Q(D-2);  F(opt) = 1</v>
      </c>
      <c r="D32" s="15"/>
      <c r="E32" s="15"/>
      <c r="H32" s="276" t="s">
        <v>638</v>
      </c>
      <c r="I32" s="276" t="s">
        <v>639</v>
      </c>
      <c r="J32" s="273"/>
      <c r="K32" s="273"/>
      <c r="L32" s="274"/>
    </row>
    <row r="33" spans="2:39" ht="15" customHeight="1" x14ac:dyDescent="0.25">
      <c r="B33" s="22"/>
      <c r="C33" s="15" t="str">
        <f>HLOOKUP(D31,$H$31:$I$33,3,0)</f>
        <v xml:space="preserve"> </v>
      </c>
      <c r="D33" s="15"/>
      <c r="E33" s="15"/>
      <c r="H33" s="276" t="s">
        <v>640</v>
      </c>
      <c r="I33" s="273" t="s">
        <v>635</v>
      </c>
      <c r="J33" s="273"/>
      <c r="K33" s="273"/>
      <c r="L33" s="274"/>
    </row>
    <row r="34" spans="2:39" ht="15" customHeight="1" x14ac:dyDescent="0.25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 x14ac:dyDescent="0.25">
      <c r="B35" s="23" t="s">
        <v>555</v>
      </c>
      <c r="C35" s="24" t="s">
        <v>500</v>
      </c>
      <c r="D35" s="269">
        <v>14</v>
      </c>
      <c r="E35" s="15"/>
      <c r="H35" s="273"/>
      <c r="I35" s="273"/>
      <c r="J35" s="273"/>
      <c r="K35" s="273"/>
      <c r="L35" s="274"/>
    </row>
    <row r="36" spans="2:39" ht="15" customHeight="1" x14ac:dyDescent="0.25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 x14ac:dyDescent="0.25">
      <c r="B37" s="7" t="s">
        <v>556</v>
      </c>
      <c r="C37" s="5" t="s">
        <v>368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 x14ac:dyDescent="0.25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 x14ac:dyDescent="0.25">
      <c r="B39" s="15"/>
      <c r="C39" s="35"/>
      <c r="D39" s="29"/>
      <c r="E39" s="15"/>
      <c r="H39" s="68"/>
      <c r="I39" s="68"/>
      <c r="J39" s="68"/>
      <c r="K39" s="68"/>
    </row>
    <row r="40" spans="2:39" ht="15" customHeight="1" x14ac:dyDescent="0.25">
      <c r="B40" s="7" t="s">
        <v>557</v>
      </c>
      <c r="C40" s="5" t="s">
        <v>369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 x14ac:dyDescent="0.25">
      <c r="C41" s="8" t="s">
        <v>497</v>
      </c>
    </row>
    <row r="42" spans="2:39" ht="15" customHeight="1" x14ac:dyDescent="0.25">
      <c r="B42" s="7"/>
      <c r="C42" s="3"/>
    </row>
    <row r="43" spans="2:39" ht="15" customHeight="1" x14ac:dyDescent="0.25">
      <c r="B43" s="7"/>
      <c r="C43" s="3" t="s">
        <v>546</v>
      </c>
    </row>
    <row r="44" spans="2:39" ht="18" customHeight="1" x14ac:dyDescent="0.25">
      <c r="C44" s="3" t="s">
        <v>548</v>
      </c>
    </row>
    <row r="45" spans="2:39" ht="18" customHeight="1" x14ac:dyDescent="0.25">
      <c r="C45" s="3"/>
    </row>
    <row r="46" spans="2:39" ht="15" customHeight="1" x14ac:dyDescent="0.25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 x14ac:dyDescent="0.25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 x14ac:dyDescent="0.25">
      <c r="C48" s="22" t="s">
        <v>592</v>
      </c>
      <c r="D48" s="45" t="s">
        <v>667</v>
      </c>
    </row>
    <row r="49" spans="3:4" ht="18" customHeight="1" x14ac:dyDescent="0.25">
      <c r="C49" s="22" t="s">
        <v>593</v>
      </c>
      <c r="D49" s="45"/>
    </row>
    <row r="50" spans="3:4" ht="18" customHeight="1" x14ac:dyDescent="0.25">
      <c r="C50" s="22" t="s">
        <v>594</v>
      </c>
      <c r="D50" s="45"/>
    </row>
    <row r="51" spans="3:4" ht="18" customHeight="1" x14ac:dyDescent="0.25">
      <c r="C51" s="22" t="s">
        <v>595</v>
      </c>
      <c r="D51" s="45"/>
    </row>
    <row r="52" spans="3:4" ht="18" customHeight="1" x14ac:dyDescent="0.25">
      <c r="C52" s="22" t="s">
        <v>596</v>
      </c>
      <c r="D52" s="45"/>
    </row>
    <row r="53" spans="3:4" ht="18" customHeight="1" x14ac:dyDescent="0.25">
      <c r="C53" s="22" t="s">
        <v>597</v>
      </c>
      <c r="D53" s="45"/>
    </row>
    <row r="54" spans="3:4" ht="18" customHeight="1" x14ac:dyDescent="0.25">
      <c r="C54" s="22" t="s">
        <v>598</v>
      </c>
      <c r="D54" s="45"/>
    </row>
    <row r="55" spans="3:4" ht="18" customHeight="1" x14ac:dyDescent="0.25">
      <c r="C55" s="22" t="s">
        <v>599</v>
      </c>
      <c r="D55" s="45"/>
    </row>
    <row r="56" spans="3:4" ht="18" customHeight="1" x14ac:dyDescent="0.25">
      <c r="C56" s="22" t="s">
        <v>600</v>
      </c>
      <c r="D56" s="45"/>
    </row>
    <row r="57" spans="3:4" ht="18" customHeight="1" x14ac:dyDescent="0.25">
      <c r="C57" s="22" t="s">
        <v>601</v>
      </c>
      <c r="D57" s="45"/>
    </row>
    <row r="58" spans="3:4" ht="18" customHeight="1" x14ac:dyDescent="0.25">
      <c r="C58" s="22" t="s">
        <v>602</v>
      </c>
      <c r="D58" s="45"/>
    </row>
    <row r="59" spans="3:4" ht="18" customHeight="1" x14ac:dyDescent="0.25">
      <c r="C59" s="22" t="s">
        <v>603</v>
      </c>
      <c r="D59" s="45"/>
    </row>
    <row r="60" spans="3:4" ht="18" customHeight="1" x14ac:dyDescent="0.25">
      <c r="C60" s="22" t="s">
        <v>604</v>
      </c>
      <c r="D60" s="45"/>
    </row>
    <row r="61" spans="3:4" ht="18" customHeight="1" x14ac:dyDescent="0.25">
      <c r="C61" s="22" t="s">
        <v>605</v>
      </c>
      <c r="D61" s="45"/>
    </row>
    <row r="62" spans="3:4" ht="18" customHeight="1" x14ac:dyDescent="0.25">
      <c r="C62" s="22" t="s">
        <v>606</v>
      </c>
      <c r="D62" s="45"/>
    </row>
  </sheetData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H28" sqref="H28"/>
    </sheetView>
  </sheetViews>
  <sheetFormatPr baseColWidth="10" defaultColWidth="0" defaultRowHeight="15" zeroHeight="1" x14ac:dyDescent="0.25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17.42578125" style="129" customWidth="1"/>
    <col min="6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 x14ac:dyDescent="0.25"/>
    <row r="2" spans="1:56" ht="23.25" x14ac:dyDescent="0.35">
      <c r="B2" s="172" t="s">
        <v>550</v>
      </c>
    </row>
    <row r="3" spans="1:56" ht="15" customHeight="1" x14ac:dyDescent="0.35">
      <c r="B3" s="172"/>
    </row>
    <row r="4" spans="1:56" x14ac:dyDescent="0.25">
      <c r="B4" s="131"/>
      <c r="C4" s="56" t="s">
        <v>449</v>
      </c>
      <c r="D4" s="57"/>
      <c r="E4" s="58" t="s">
        <v>657</v>
      </c>
      <c r="F4" s="131"/>
      <c r="M4" s="131"/>
      <c r="N4" s="131"/>
      <c r="O4" s="131"/>
    </row>
    <row r="5" spans="1:56" x14ac:dyDescent="0.25">
      <c r="B5" s="131"/>
      <c r="C5" s="56" t="s">
        <v>448</v>
      </c>
      <c r="D5" s="57"/>
      <c r="E5" s="58" t="str">
        <f>Netzbetreiber!D28</f>
        <v>GEW Wilhelmshaven GmbH</v>
      </c>
      <c r="F5" s="131"/>
      <c r="G5" s="131"/>
      <c r="H5" s="131"/>
      <c r="M5" s="131"/>
      <c r="N5" s="131"/>
      <c r="O5" s="131"/>
    </row>
    <row r="6" spans="1:56" x14ac:dyDescent="0.25">
      <c r="B6" s="131"/>
      <c r="C6" s="60" t="s">
        <v>492</v>
      </c>
      <c r="D6" s="57"/>
      <c r="E6" s="341">
        <f>Netzbetreiber!D11</f>
        <v>9870094300000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x14ac:dyDescent="0.25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x14ac:dyDescent="0.25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 x14ac:dyDescent="0.25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 x14ac:dyDescent="0.25">
      <c r="B10" s="131"/>
      <c r="C10" s="56" t="s">
        <v>591</v>
      </c>
      <c r="D10" s="131"/>
      <c r="E10" s="131"/>
      <c r="F10" s="300">
        <v>1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 x14ac:dyDescent="0.25">
      <c r="B11" s="131"/>
      <c r="C11" s="56" t="s">
        <v>609</v>
      </c>
      <c r="D11" s="131"/>
      <c r="E11" s="131"/>
      <c r="F11" s="297" t="str">
        <f>INDEX('SLP-Verfahren'!D48:D62,'SLP-Temp-Gebiet #01'!F10)</f>
        <v>Wilhelmshaven 101280</v>
      </c>
      <c r="G11" s="301"/>
      <c r="H11" s="299"/>
      <c r="J11" s="131"/>
      <c r="K11" s="131"/>
      <c r="L11" s="131"/>
      <c r="M11" s="131"/>
      <c r="N11" s="131"/>
      <c r="O11" s="131"/>
    </row>
    <row r="12" spans="1:56" x14ac:dyDescent="0.25"/>
    <row r="13" spans="1:56" ht="18" customHeight="1" x14ac:dyDescent="0.25">
      <c r="B13" s="131"/>
      <c r="C13" s="343" t="s">
        <v>590</v>
      </c>
      <c r="D13" s="343"/>
      <c r="E13" s="343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25">
      <c r="B14" s="131"/>
      <c r="C14" s="344" t="s">
        <v>452</v>
      </c>
      <c r="D14" s="344"/>
      <c r="E14" s="90" t="s">
        <v>453</v>
      </c>
      <c r="F14" s="267" t="s">
        <v>85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 x14ac:dyDescent="0.25">
      <c r="B15" s="131"/>
      <c r="C15" s="344" t="s">
        <v>390</v>
      </c>
      <c r="D15" s="344"/>
      <c r="E15" s="90" t="s">
        <v>453</v>
      </c>
      <c r="F15" s="267" t="s">
        <v>71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25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 x14ac:dyDescent="0.3">
      <c r="B17" s="177" t="s">
        <v>523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x14ac:dyDescent="0.25">
      <c r="B18" s="131"/>
      <c r="C18" s="56" t="s">
        <v>529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 x14ac:dyDescent="0.2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 x14ac:dyDescent="0.25">
      <c r="B20" s="131"/>
      <c r="C20" s="180" t="s">
        <v>524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x14ac:dyDescent="0.25">
      <c r="B21" s="184"/>
      <c r="C21" s="185" t="s">
        <v>531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x14ac:dyDescent="0.25">
      <c r="B22" s="184"/>
      <c r="C22" s="185" t="s">
        <v>543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x14ac:dyDescent="0.25">
      <c r="B23" s="184"/>
      <c r="C23" s="188" t="s">
        <v>137</v>
      </c>
      <c r="D23" s="189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 x14ac:dyDescent="0.25">
      <c r="B24" s="184"/>
      <c r="C24" s="188" t="s">
        <v>526</v>
      </c>
      <c r="D24" s="189"/>
      <c r="E24" s="157" t="s">
        <v>662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x14ac:dyDescent="0.25">
      <c r="B25" s="184"/>
      <c r="C25" s="188" t="s">
        <v>521</v>
      </c>
      <c r="D25" s="189"/>
      <c r="E25" s="161">
        <v>101280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x14ac:dyDescent="0.25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x14ac:dyDescent="0.25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x14ac:dyDescent="0.25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 x14ac:dyDescent="0.25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x14ac:dyDescent="0.25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x14ac:dyDescent="0.25">
      <c r="B31" s="184"/>
      <c r="C31" s="185" t="s">
        <v>532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x14ac:dyDescent="0.25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x14ac:dyDescent="0.25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 x14ac:dyDescent="0.25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x14ac:dyDescent="0.25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142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x14ac:dyDescent="0.25">
      <c r="B36" s="184"/>
      <c r="C36" s="193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 x14ac:dyDescent="0.3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x14ac:dyDescent="0.25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 x14ac:dyDescent="0.35">
      <c r="B39" s="194"/>
      <c r="C39" s="198" t="s">
        <v>352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x14ac:dyDescent="0.25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x14ac:dyDescent="0.25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x14ac:dyDescent="0.25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x14ac:dyDescent="0.25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x14ac:dyDescent="0.25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x14ac:dyDescent="0.25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x14ac:dyDescent="0.25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 x14ac:dyDescent="0.25">
      <c r="B47" s="194"/>
      <c r="C47" s="201" t="s">
        <v>351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 x14ac:dyDescent="0.3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x14ac:dyDescent="0.2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 x14ac:dyDescent="0.3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x14ac:dyDescent="0.25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x14ac:dyDescent="0.25">
      <c r="B52" s="131"/>
      <c r="C52" s="56" t="s">
        <v>549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 x14ac:dyDescent="0.25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 x14ac:dyDescent="0.25">
      <c r="B54" s="131"/>
      <c r="C54" s="180" t="s">
        <v>524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x14ac:dyDescent="0.25">
      <c r="B55" s="184"/>
      <c r="C55" s="185" t="s">
        <v>531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x14ac:dyDescent="0.25">
      <c r="B56" s="184"/>
      <c r="C56" s="185" t="s">
        <v>543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x14ac:dyDescent="0.25">
      <c r="B57" s="184"/>
      <c r="C57" s="188" t="s">
        <v>137</v>
      </c>
      <c r="D57" s="189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x14ac:dyDescent="0.25">
      <c r="B58" s="184"/>
      <c r="C58" s="188" t="s">
        <v>526</v>
      </c>
      <c r="D58" s="189"/>
      <c r="E58" s="157" t="str">
        <f>E24</f>
        <v>Wilhelmshaven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 x14ac:dyDescent="0.25">
      <c r="B59" s="184"/>
      <c r="C59" s="188" t="s">
        <v>521</v>
      </c>
      <c r="D59" s="189"/>
      <c r="E59" s="161">
        <f>E25</f>
        <v>101280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x14ac:dyDescent="0.25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x14ac:dyDescent="0.25"/>
    <row r="62" spans="2:28" x14ac:dyDescent="0.25">
      <c r="C62" s="56" t="s">
        <v>525</v>
      </c>
      <c r="D62" s="131"/>
      <c r="E62" s="131"/>
      <c r="F62" s="158">
        <v>4</v>
      </c>
    </row>
    <row r="63" spans="2:28" ht="15" customHeight="1" x14ac:dyDescent="0.25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 x14ac:dyDescent="0.25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x14ac:dyDescent="0.25">
      <c r="B65" s="184"/>
      <c r="C65" s="185" t="s">
        <v>532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 x14ac:dyDescent="0.25">
      <c r="B66" s="184"/>
      <c r="C66" s="185" t="s">
        <v>539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 x14ac:dyDescent="0.2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 x14ac:dyDescent="0.2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 x14ac:dyDescent="0.2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 x14ac:dyDescent="0.25">
      <c r="B70" s="184"/>
      <c r="C70" s="193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 x14ac:dyDescent="0.25"/>
    <row r="72" spans="2:15" ht="15.75" customHeight="1" x14ac:dyDescent="0.25">
      <c r="C72" s="345" t="s">
        <v>586</v>
      </c>
      <c r="D72" s="345"/>
      <c r="E72" s="345"/>
      <c r="F72" s="345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disablePrompts="1"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25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 x14ac:dyDescent="0.25"/>
    <row r="2" spans="1:56" ht="23.25" x14ac:dyDescent="0.35">
      <c r="B2" s="172" t="s">
        <v>550</v>
      </c>
    </row>
    <row r="3" spans="1:56" ht="15" customHeight="1" x14ac:dyDescent="0.35">
      <c r="B3" s="172"/>
    </row>
    <row r="4" spans="1:56" x14ac:dyDescent="0.25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 x14ac:dyDescent="0.25">
      <c r="B5" s="131"/>
      <c r="C5" s="56" t="s">
        <v>448</v>
      </c>
      <c r="D5" s="57"/>
      <c r="E5" s="58" t="str">
        <f>Netzbetreiber!D28</f>
        <v>GEW Wilhelmshaven GmbH</v>
      </c>
      <c r="F5" s="131"/>
      <c r="G5" s="131"/>
      <c r="H5" s="131"/>
      <c r="M5" s="131"/>
      <c r="N5" s="131"/>
      <c r="O5" s="131"/>
    </row>
    <row r="6" spans="1:56" x14ac:dyDescent="0.25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x14ac:dyDescent="0.25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x14ac:dyDescent="0.25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 x14ac:dyDescent="0.25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 x14ac:dyDescent="0.25">
      <c r="B10" s="131"/>
      <c r="C10" s="56" t="s">
        <v>591</v>
      </c>
      <c r="D10" s="131"/>
      <c r="E10" s="131"/>
      <c r="F10" s="300">
        <v>2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 x14ac:dyDescent="0.25">
      <c r="B11" s="131"/>
      <c r="C11" s="56" t="s">
        <v>609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x14ac:dyDescent="0.25"/>
    <row r="13" spans="1:56" ht="18" customHeight="1" x14ac:dyDescent="0.25">
      <c r="B13" s="131"/>
      <c r="C13" s="343" t="s">
        <v>590</v>
      </c>
      <c r="D13" s="343"/>
      <c r="E13" s="343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 x14ac:dyDescent="0.25">
      <c r="B14" s="131"/>
      <c r="C14" s="344" t="s">
        <v>452</v>
      </c>
      <c r="D14" s="344"/>
      <c r="E14" s="90" t="s">
        <v>453</v>
      </c>
      <c r="F14" s="267" t="s">
        <v>85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 x14ac:dyDescent="0.25">
      <c r="B15" s="131"/>
      <c r="C15" s="344" t="s">
        <v>390</v>
      </c>
      <c r="D15" s="344"/>
      <c r="E15" s="90" t="s">
        <v>453</v>
      </c>
      <c r="F15" s="267" t="s">
        <v>71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 x14ac:dyDescent="0.25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 x14ac:dyDescent="0.3">
      <c r="B17" s="177" t="s">
        <v>523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x14ac:dyDescent="0.25">
      <c r="B18" s="131"/>
      <c r="C18" s="56" t="s">
        <v>529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 x14ac:dyDescent="0.25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 x14ac:dyDescent="0.25">
      <c r="B20" s="131"/>
      <c r="C20" s="180" t="s">
        <v>524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x14ac:dyDescent="0.25">
      <c r="B21" s="184"/>
      <c r="C21" s="185" t="s">
        <v>531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x14ac:dyDescent="0.25">
      <c r="B22" s="184"/>
      <c r="C22" s="185" t="s">
        <v>543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x14ac:dyDescent="0.25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x14ac:dyDescent="0.25">
      <c r="B24" s="184"/>
      <c r="C24" s="188" t="s">
        <v>526</v>
      </c>
      <c r="D24" s="189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x14ac:dyDescent="0.25">
      <c r="B25" s="184"/>
      <c r="C25" s="188" t="s">
        <v>521</v>
      </c>
      <c r="D25" s="189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x14ac:dyDescent="0.25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x14ac:dyDescent="0.25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x14ac:dyDescent="0.25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 x14ac:dyDescent="0.25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x14ac:dyDescent="0.25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x14ac:dyDescent="0.25">
      <c r="B31" s="184"/>
      <c r="C31" s="185" t="s">
        <v>532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x14ac:dyDescent="0.25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x14ac:dyDescent="0.25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 x14ac:dyDescent="0.25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x14ac:dyDescent="0.25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142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x14ac:dyDescent="0.25">
      <c r="B36" s="184"/>
      <c r="C36" s="193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 x14ac:dyDescent="0.3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x14ac:dyDescent="0.25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 x14ac:dyDescent="0.35">
      <c r="B39" s="194"/>
      <c r="C39" s="198" t="s">
        <v>352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x14ac:dyDescent="0.25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x14ac:dyDescent="0.25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x14ac:dyDescent="0.25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x14ac:dyDescent="0.25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x14ac:dyDescent="0.25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x14ac:dyDescent="0.25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x14ac:dyDescent="0.25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 x14ac:dyDescent="0.25">
      <c r="B47" s="194"/>
      <c r="C47" s="201" t="s">
        <v>351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 x14ac:dyDescent="0.3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x14ac:dyDescent="0.2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 x14ac:dyDescent="0.3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x14ac:dyDescent="0.25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x14ac:dyDescent="0.25">
      <c r="B52" s="131"/>
      <c r="C52" s="56" t="s">
        <v>549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 x14ac:dyDescent="0.25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 x14ac:dyDescent="0.25">
      <c r="B54" s="131"/>
      <c r="C54" s="180" t="s">
        <v>524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x14ac:dyDescent="0.25">
      <c r="B55" s="184"/>
      <c r="C55" s="185" t="s">
        <v>531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x14ac:dyDescent="0.25">
      <c r="B56" s="184"/>
      <c r="C56" s="185" t="s">
        <v>543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x14ac:dyDescent="0.25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x14ac:dyDescent="0.25">
      <c r="B58" s="184"/>
      <c r="C58" s="188" t="s">
        <v>526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 x14ac:dyDescent="0.25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x14ac:dyDescent="0.25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x14ac:dyDescent="0.25"/>
    <row r="62" spans="2:28" x14ac:dyDescent="0.25">
      <c r="C62" s="56" t="s">
        <v>525</v>
      </c>
      <c r="D62" s="131"/>
      <c r="E62" s="131"/>
      <c r="F62" s="158">
        <f>F28</f>
        <v>4</v>
      </c>
    </row>
    <row r="63" spans="2:28" ht="15" customHeight="1" x14ac:dyDescent="0.25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 x14ac:dyDescent="0.25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x14ac:dyDescent="0.25">
      <c r="B65" s="184"/>
      <c r="C65" s="185" t="s">
        <v>532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x14ac:dyDescent="0.25">
      <c r="B66" s="184"/>
      <c r="C66" s="185" t="s">
        <v>539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x14ac:dyDescent="0.2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x14ac:dyDescent="0.2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x14ac:dyDescent="0.2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x14ac:dyDescent="0.25">
      <c r="B70" s="184"/>
      <c r="C70" s="193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x14ac:dyDescent="0.25"/>
    <row r="72" spans="2:15" ht="15.75" customHeight="1" x14ac:dyDescent="0.25">
      <c r="C72" s="345" t="s">
        <v>586</v>
      </c>
      <c r="D72" s="345"/>
      <c r="E72" s="345"/>
      <c r="F72" s="345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M37" sqref="M37"/>
    </sheetView>
  </sheetViews>
  <sheetFormatPr baseColWidth="10" defaultColWidth="0" defaultRowHeight="15" zeroHeight="1" x14ac:dyDescent="0.25"/>
  <cols>
    <col min="1" max="1" width="2.85546875" style="129" customWidth="1"/>
    <col min="2" max="2" width="8" style="129" customWidth="1"/>
    <col min="3" max="3" width="33.42578125" style="129" customWidth="1"/>
    <col min="4" max="4" width="14.855468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18" style="129" customWidth="1"/>
    <col min="26" max="26" width="2.140625" style="129" customWidth="1"/>
    <col min="27" max="16384" width="11.42578125" style="129" hidden="1"/>
  </cols>
  <sheetData>
    <row r="1" spans="2:26" ht="75" customHeight="1" thickBot="1" x14ac:dyDescent="0.3"/>
    <row r="2" spans="2:26" ht="23.25" x14ac:dyDescent="0.25">
      <c r="B2" s="130" t="s">
        <v>367</v>
      </c>
    </row>
    <row r="3" spans="2:26" x14ac:dyDescent="0.25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 x14ac:dyDescent="0.25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 x14ac:dyDescent="0.25">
      <c r="B5" s="131"/>
      <c r="C5" s="53" t="s">
        <v>372</v>
      </c>
      <c r="D5" s="54" t="str">
        <f>Netzbetreiber!$D$9</f>
        <v>GEW Wilhelmshaven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 x14ac:dyDescent="0.25">
      <c r="B6" s="131"/>
      <c r="C6" s="53" t="s">
        <v>339</v>
      </c>
      <c r="D6" s="54" t="str">
        <f>Netzbetreiber!$D$28</f>
        <v>GEW Wilhelmshaven GmbH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 x14ac:dyDescent="0.25">
      <c r="B7" s="131"/>
      <c r="C7" s="55" t="s">
        <v>492</v>
      </c>
      <c r="D7" s="342">
        <f>Netzbetreiber!$D$11</f>
        <v>9870094300000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 x14ac:dyDescent="0.25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14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 x14ac:dyDescent="0.25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 x14ac:dyDescent="0.3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6" t="s">
        <v>654</v>
      </c>
    </row>
    <row r="11" spans="2:26" ht="15.75" thickBot="1" x14ac:dyDescent="0.3">
      <c r="B11" s="140" t="s">
        <v>501</v>
      </c>
      <c r="C11" s="141" t="s">
        <v>516</v>
      </c>
      <c r="D11" s="305" t="s">
        <v>248</v>
      </c>
      <c r="E11" s="165"/>
      <c r="F11" s="307" t="e">
        <f>VLOOKUP($E11,'BDEW-Standard'!$B$3:$M$158,F$9,0)</f>
        <v>#N/A</v>
      </c>
      <c r="H11" s="168" t="e">
        <f>ROUND(VLOOKUP($E11,'BDEW-Standard'!$B$3:$M$158,H$9,0),7)</f>
        <v>#N/A</v>
      </c>
      <c r="I11" s="168" t="e">
        <f>ROUND(VLOOKUP($E11,'BDEW-Standard'!$B$3:$M$158,I$9,0),7)</f>
        <v>#N/A</v>
      </c>
      <c r="J11" s="168" t="e">
        <f>ROUND(VLOOKUP($E11,'BDEW-Standard'!$B$3:$M$158,J$9,0),7)</f>
        <v>#N/A</v>
      </c>
      <c r="K11" s="168" t="e">
        <f>ROUND(VLOOKUP($E11,'BDEW-Standard'!$B$3:$M$158,K$9,0),7)</f>
        <v>#N/A</v>
      </c>
      <c r="L11" s="215" t="e">
        <f>ROUND(VLOOKUP($E11,'BDEW-Standard'!$B$3:$M$158,L$9,0),1)</f>
        <v>#N/A</v>
      </c>
      <c r="M11" s="168" t="e">
        <f>ROUND(VLOOKUP($E11,'BDEW-Standard'!$B$3:$M$158,M$9,0),7)</f>
        <v>#N/A</v>
      </c>
      <c r="N11" s="168" t="e">
        <f>ROUND(VLOOKUP($E11,'BDEW-Standard'!$B$3:$M$158,N$9,0),7)</f>
        <v>#N/A</v>
      </c>
      <c r="O11" s="168" t="e">
        <f>ROUND(VLOOKUP($E11,'BDEW-Standard'!$B$3:$M$158,O$9,0),7)</f>
        <v>#N/A</v>
      </c>
      <c r="P11" s="168" t="e">
        <f>ROUND(VLOOKUP($E11,'BDEW-Standard'!$B$3:$M$158,P$9,0),7)</f>
        <v>#N/A</v>
      </c>
      <c r="Q11" s="214" t="e">
        <f>($H11/(1+($I11/($Q$9-$L11))^$J11)+$K11)+MAX($M11*$Q$9+$N11,$O11*$Q$9+$P11)</f>
        <v>#N/A</v>
      </c>
      <c r="R11" s="169" t="e">
        <f>ROUND(VLOOKUP(MID($E11,4,3),'Wochentag F(WT)'!$B$7:$J$22,R$9,0),4)</f>
        <v>#N/A</v>
      </c>
      <c r="S11" s="169" t="e">
        <f>ROUND(VLOOKUP(MID($E11,4,3),'Wochentag F(WT)'!$B$7:$J$22,S$9,0),4)</f>
        <v>#N/A</v>
      </c>
      <c r="T11" s="169" t="e">
        <f>ROUND(VLOOKUP(MID($E11,4,3),'Wochentag F(WT)'!$B$7:$J$22,T$9,0),4)</f>
        <v>#N/A</v>
      </c>
      <c r="U11" s="169" t="e">
        <f>ROUND(VLOOKUP(MID($E11,4,3),'Wochentag F(WT)'!$B$7:$J$22,U$9,0),4)</f>
        <v>#N/A</v>
      </c>
      <c r="V11" s="169" t="e">
        <f>ROUND(VLOOKUP(MID($E11,4,3),'Wochentag F(WT)'!$B$7:$J$22,V$9,0),4)</f>
        <v>#N/A</v>
      </c>
      <c r="W11" s="169" t="e">
        <f>ROUND(VLOOKUP(MID($E11,4,3),'Wochentag F(WT)'!$B$7:$J$22,W$9,0),4)</f>
        <v>#N/A</v>
      </c>
      <c r="X11" s="170" t="e">
        <f>7-SUM(R11:W11)</f>
        <v>#N/A</v>
      </c>
      <c r="Y11" s="303">
        <v>365.12299999999999</v>
      </c>
    </row>
    <row r="12" spans="2:26" x14ac:dyDescent="0.25">
      <c r="B12" s="142">
        <v>1</v>
      </c>
      <c r="C12" s="143" t="str">
        <f t="shared" ref="C12:C41" si="0">$D$6</f>
        <v>GEW Wilhelmshaven GmbH</v>
      </c>
      <c r="D12" s="63" t="s">
        <v>248</v>
      </c>
      <c r="E12" s="166" t="s">
        <v>658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5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 x14ac:dyDescent="0.25">
      <c r="B13" s="145">
        <v>2</v>
      </c>
      <c r="C13" s="146" t="str">
        <f t="shared" si="0"/>
        <v>GEW Wilhelmshaven GmbH</v>
      </c>
      <c r="D13" s="63" t="s">
        <v>248</v>
      </c>
      <c r="E13" s="166" t="s">
        <v>659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5" si="2">7-SUM(R13:W13)</f>
        <v>1</v>
      </c>
      <c r="Y13" s="304"/>
      <c r="Z13" s="213"/>
    </row>
    <row r="14" spans="2:26" s="144" customFormat="1" x14ac:dyDescent="0.25">
      <c r="B14" s="145">
        <v>3</v>
      </c>
      <c r="C14" s="146" t="str">
        <f t="shared" si="0"/>
        <v>GEW Wilhelmshaven GmbH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 x14ac:dyDescent="0.25">
      <c r="B15" s="145">
        <v>4</v>
      </c>
      <c r="C15" s="146" t="str">
        <f t="shared" si="0"/>
        <v>GEW Wilhelmshaven GmbH</v>
      </c>
      <c r="D15" s="63" t="s">
        <v>248</v>
      </c>
      <c r="E15" s="166" t="s">
        <v>669</v>
      </c>
      <c r="F15" s="308" t="str">
        <f>VLOOKUP($E15,'BDEW-Standard'!$B$3:$M$94,F$9,0)</f>
        <v>GA3</v>
      </c>
      <c r="H15" s="279">
        <f>ROUND(VLOOKUP($E15,'BDEW-Standard'!$B$3:$M$94,H$9,0),7)</f>
        <v>2.2850164999999998</v>
      </c>
      <c r="I15" s="279">
        <f>ROUND(VLOOKUP($E15,'BDEW-Standard'!$B$3:$M$94,I$9,0),7)</f>
        <v>-36.287858399999998</v>
      </c>
      <c r="J15" s="279">
        <f>ROUND(VLOOKUP($E15,'BDEW-Standard'!$B$3:$M$94,J$9,0),7)</f>
        <v>6.5885125999999996</v>
      </c>
      <c r="K15" s="279">
        <f>ROUND(VLOOKUP($E15,'BDEW-Standard'!$B$3:$M$94,K$9,0),7)</f>
        <v>0.31505349999999999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1.0096183914256316</v>
      </c>
      <c r="R15" s="282">
        <f>ROUND(VLOOKUP(MID($E15,4,3),'Wochentag F(WT)'!$B$7:$J$22,R$9,0),4)</f>
        <v>0.93220000000000003</v>
      </c>
      <c r="S15" s="282">
        <f>ROUND(VLOOKUP(MID($E15,4,3),'Wochentag F(WT)'!$B$7:$J$22,S$9,0),4)</f>
        <v>0.98939999999999995</v>
      </c>
      <c r="T15" s="282">
        <f>ROUND(VLOOKUP(MID($E15,4,3),'Wochentag F(WT)'!$B$7:$J$22,T$9,0),4)</f>
        <v>1.0033000000000001</v>
      </c>
      <c r="U15" s="282">
        <f>ROUND(VLOOKUP(MID($E15,4,3),'Wochentag F(WT)'!$B$7:$J$22,U$9,0),4)</f>
        <v>1.0108999999999999</v>
      </c>
      <c r="V15" s="282">
        <f>ROUND(VLOOKUP(MID($E15,4,3),'Wochentag F(WT)'!$B$7:$J$22,V$9,0),4)</f>
        <v>1.018</v>
      </c>
      <c r="W15" s="282">
        <f>ROUND(VLOOKUP(MID($E15,4,3),'Wochentag F(WT)'!$B$7:$J$22,W$9,0),4)</f>
        <v>1.0356000000000001</v>
      </c>
      <c r="X15" s="283">
        <f t="shared" si="2"/>
        <v>1.0106000000000002</v>
      </c>
      <c r="Y15" s="304"/>
      <c r="Z15" s="213"/>
    </row>
    <row r="16" spans="2:26" s="144" customFormat="1" x14ac:dyDescent="0.25">
      <c r="B16" s="145">
        <v>5</v>
      </c>
      <c r="C16" s="146" t="str">
        <f t="shared" si="0"/>
        <v>GEW Wilhelmshaven GmbH</v>
      </c>
      <c r="D16" s="63" t="s">
        <v>248</v>
      </c>
      <c r="E16" s="166" t="s">
        <v>670</v>
      </c>
      <c r="F16" s="308" t="str">
        <f>VLOOKUP($E16,'BDEW-Standard'!$B$3:$M$94,F$9,0)</f>
        <v>GB3</v>
      </c>
      <c r="H16" s="279">
        <f>ROUND(VLOOKUP($E16,'BDEW-Standard'!$B$3:$M$94,H$9,0),7)</f>
        <v>3.2572741999999999</v>
      </c>
      <c r="I16" s="279">
        <f>ROUND(VLOOKUP($E16,'BDEW-Standard'!$B$3:$M$94,I$9,0),7)</f>
        <v>-37.5</v>
      </c>
      <c r="J16" s="279">
        <f>ROUND(VLOOKUP($E16,'BDEW-Standard'!$B$3:$M$94,J$9,0),7)</f>
        <v>6.3462148000000003</v>
      </c>
      <c r="K16" s="279">
        <f>ROUND(VLOOKUP($E16,'BDEW-Standard'!$B$3:$M$94,K$9,0),7)</f>
        <v>8.6622699999999997E-2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0.9584556323619029</v>
      </c>
      <c r="R16" s="282">
        <f>ROUND(VLOOKUP(MID($E16,4,3),'Wochentag F(WT)'!$B$7:$J$22,R$9,0),4)</f>
        <v>0.98970000000000002</v>
      </c>
      <c r="S16" s="282">
        <f>ROUND(VLOOKUP(MID($E16,4,3),'Wochentag F(WT)'!$B$7:$J$22,S$9,0),4)</f>
        <v>0.9627</v>
      </c>
      <c r="T16" s="282">
        <f>ROUND(VLOOKUP(MID($E16,4,3),'Wochentag F(WT)'!$B$7:$J$22,T$9,0),4)</f>
        <v>1.0507</v>
      </c>
      <c r="U16" s="282">
        <f>ROUND(VLOOKUP(MID($E16,4,3),'Wochentag F(WT)'!$B$7:$J$22,U$9,0),4)</f>
        <v>1.0551999999999999</v>
      </c>
      <c r="V16" s="282">
        <f>ROUND(VLOOKUP(MID($E16,4,3),'Wochentag F(WT)'!$B$7:$J$22,V$9,0),4)</f>
        <v>1.0297000000000001</v>
      </c>
      <c r="W16" s="282">
        <f>ROUND(VLOOKUP(MID($E16,4,3),'Wochentag F(WT)'!$B$7:$J$22,W$9,0),4)</f>
        <v>0.97670000000000001</v>
      </c>
      <c r="X16" s="283">
        <f t="shared" si="2"/>
        <v>0.9352999999999998</v>
      </c>
      <c r="Y16" s="304"/>
      <c r="Z16" s="213"/>
    </row>
    <row r="17" spans="2:26" s="144" customFormat="1" x14ac:dyDescent="0.25">
      <c r="B17" s="145">
        <v>6</v>
      </c>
      <c r="C17" s="146" t="str">
        <f t="shared" si="0"/>
        <v>GEW Wilhelmshaven GmbH</v>
      </c>
      <c r="D17" s="63" t="s">
        <v>248</v>
      </c>
      <c r="E17" s="166" t="s">
        <v>671</v>
      </c>
      <c r="F17" s="308" t="str">
        <f>VLOOKUP($E17,'BDEW-Standard'!$B$3:$M$94,F$9,0)</f>
        <v>HA3</v>
      </c>
      <c r="H17" s="279">
        <f>ROUND(VLOOKUP($E17,'BDEW-Standard'!$B$3:$M$94,H$9,0),7)</f>
        <v>3.5811213999999998</v>
      </c>
      <c r="I17" s="279">
        <f>ROUND(VLOOKUP($E17,'BDEW-Standard'!$B$3:$M$94,I$9,0),7)</f>
        <v>-36.965006500000001</v>
      </c>
      <c r="J17" s="279">
        <f>ROUND(VLOOKUP($E17,'BDEW-Standard'!$B$3:$M$94,J$9,0),7)</f>
        <v>7.2256947</v>
      </c>
      <c r="K17" s="279">
        <f>ROUND(VLOOKUP($E17,'BDEW-Standard'!$B$3:$M$94,K$9,0),7)</f>
        <v>4.4841600000000002E-2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0.97852945357176691</v>
      </c>
      <c r="R17" s="282">
        <f>ROUND(VLOOKUP(MID($E17,4,3),'Wochentag F(WT)'!$B$7:$J$22,R$9,0),4)</f>
        <v>1.0358000000000001</v>
      </c>
      <c r="S17" s="282">
        <f>ROUND(VLOOKUP(MID($E17,4,3),'Wochentag F(WT)'!$B$7:$J$22,S$9,0),4)</f>
        <v>1.0232000000000001</v>
      </c>
      <c r="T17" s="282">
        <f>ROUND(VLOOKUP(MID($E17,4,3),'Wochentag F(WT)'!$B$7:$J$22,T$9,0),4)</f>
        <v>1.0251999999999999</v>
      </c>
      <c r="U17" s="282">
        <f>ROUND(VLOOKUP(MID($E17,4,3),'Wochentag F(WT)'!$B$7:$J$22,U$9,0),4)</f>
        <v>1.0295000000000001</v>
      </c>
      <c r="V17" s="282">
        <f>ROUND(VLOOKUP(MID($E17,4,3),'Wochentag F(WT)'!$B$7:$J$22,V$9,0),4)</f>
        <v>1.0253000000000001</v>
      </c>
      <c r="W17" s="282">
        <f>ROUND(VLOOKUP(MID($E17,4,3),'Wochentag F(WT)'!$B$7:$J$22,W$9,0),4)</f>
        <v>0.96750000000000003</v>
      </c>
      <c r="X17" s="283">
        <f t="shared" si="2"/>
        <v>0.89350000000000041</v>
      </c>
      <c r="Y17" s="304"/>
      <c r="Z17" s="213"/>
    </row>
    <row r="18" spans="2:26" s="144" customFormat="1" x14ac:dyDescent="0.25">
      <c r="B18" s="145">
        <v>7</v>
      </c>
      <c r="C18" s="146" t="str">
        <f t="shared" si="0"/>
        <v>GEW Wilhelmshaven GmbH</v>
      </c>
      <c r="D18" s="63" t="s">
        <v>248</v>
      </c>
      <c r="E18" s="166" t="s">
        <v>672</v>
      </c>
      <c r="F18" s="308" t="str">
        <f>VLOOKUP($E18,'BDEW-Standard'!$B$3:$M$94,F$9,0)</f>
        <v>HD3</v>
      </c>
      <c r="H18" s="279">
        <f>ROUND(VLOOKUP($E18,'BDEW-Standard'!$B$3:$M$94,H$9,0),7)</f>
        <v>2.5792510000000002</v>
      </c>
      <c r="I18" s="279">
        <f>ROUND(VLOOKUP($E18,'BDEW-Standard'!$B$3:$M$94,I$9,0),7)</f>
        <v>-35.681614400000001</v>
      </c>
      <c r="J18" s="279">
        <f>ROUND(VLOOKUP($E18,'BDEW-Standard'!$B$3:$M$94,J$9,0),7)</f>
        <v>6.6857975999999999</v>
      </c>
      <c r="K18" s="279">
        <f>ROUND(VLOOKUP($E18,'BDEW-Standard'!$B$3:$M$94,K$9,0),7)</f>
        <v>0.19955410000000001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1.0393994293439688</v>
      </c>
      <c r="R18" s="282">
        <f>ROUND(VLOOKUP(MID($E18,4,3),'Wochentag F(WT)'!$B$7:$J$22,R$9,0),4)</f>
        <v>1.03</v>
      </c>
      <c r="S18" s="282">
        <f>ROUND(VLOOKUP(MID($E18,4,3),'Wochentag F(WT)'!$B$7:$J$22,S$9,0),4)</f>
        <v>1.03</v>
      </c>
      <c r="T18" s="282">
        <f>ROUND(VLOOKUP(MID($E18,4,3),'Wochentag F(WT)'!$B$7:$J$22,T$9,0),4)</f>
        <v>1.02</v>
      </c>
      <c r="U18" s="282">
        <f>ROUND(VLOOKUP(MID($E18,4,3),'Wochentag F(WT)'!$B$7:$J$22,U$9,0),4)</f>
        <v>1.03</v>
      </c>
      <c r="V18" s="282">
        <f>ROUND(VLOOKUP(MID($E18,4,3),'Wochentag F(WT)'!$B$7:$J$22,V$9,0),4)</f>
        <v>1.01</v>
      </c>
      <c r="W18" s="282">
        <f>ROUND(VLOOKUP(MID($E18,4,3),'Wochentag F(WT)'!$B$7:$J$22,W$9,0),4)</f>
        <v>0.93</v>
      </c>
      <c r="X18" s="283">
        <f t="shared" si="2"/>
        <v>0.95000000000000018</v>
      </c>
      <c r="Y18" s="304"/>
      <c r="Z18" s="213"/>
    </row>
    <row r="19" spans="2:26" s="144" customFormat="1" x14ac:dyDescent="0.25">
      <c r="B19" s="145">
        <v>8</v>
      </c>
      <c r="C19" s="146" t="str">
        <f t="shared" si="0"/>
        <v>GEW Wilhelmshaven GmbH</v>
      </c>
      <c r="D19" s="63" t="s">
        <v>248</v>
      </c>
      <c r="E19" s="166" t="s">
        <v>673</v>
      </c>
      <c r="F19" s="308" t="str">
        <f>VLOOKUP($E19,'BDEW-Standard'!$B$3:$M$94,F$9,0)</f>
        <v>KO3</v>
      </c>
      <c r="H19" s="279">
        <f>ROUND(VLOOKUP($E19,'BDEW-Standard'!$B$3:$M$94,H$9,0),7)</f>
        <v>2.7172288</v>
      </c>
      <c r="I19" s="279">
        <f>ROUND(VLOOKUP($E19,'BDEW-Standard'!$B$3:$M$94,I$9,0),7)</f>
        <v>-35.141256300000002</v>
      </c>
      <c r="J19" s="279">
        <f>ROUND(VLOOKUP($E19,'BDEW-Standard'!$B$3:$M$94,J$9,0),7)</f>
        <v>7.1303394999999998</v>
      </c>
      <c r="K19" s="279">
        <f>ROUND(VLOOKUP($E19,'BDEW-Standard'!$B$3:$M$94,K$9,0),7)</f>
        <v>0.14184720000000001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1.0630299199876638</v>
      </c>
      <c r="R19" s="282">
        <f>ROUND(VLOOKUP(MID($E19,4,3),'Wochentag F(WT)'!$B$7:$J$22,R$9,0),4)</f>
        <v>1.0354000000000001</v>
      </c>
      <c r="S19" s="282">
        <f>ROUND(VLOOKUP(MID($E19,4,3),'Wochentag F(WT)'!$B$7:$J$22,S$9,0),4)</f>
        <v>1.0523</v>
      </c>
      <c r="T19" s="282">
        <f>ROUND(VLOOKUP(MID($E19,4,3),'Wochentag F(WT)'!$B$7:$J$22,T$9,0),4)</f>
        <v>1.0448999999999999</v>
      </c>
      <c r="U19" s="282">
        <f>ROUND(VLOOKUP(MID($E19,4,3),'Wochentag F(WT)'!$B$7:$J$22,U$9,0),4)</f>
        <v>1.0494000000000001</v>
      </c>
      <c r="V19" s="282">
        <f>ROUND(VLOOKUP(MID($E19,4,3),'Wochentag F(WT)'!$B$7:$J$22,V$9,0),4)</f>
        <v>0.98850000000000005</v>
      </c>
      <c r="W19" s="282">
        <f>ROUND(VLOOKUP(MID($E19,4,3),'Wochentag F(WT)'!$B$7:$J$22,W$9,0),4)</f>
        <v>0.88600000000000001</v>
      </c>
      <c r="X19" s="283">
        <f t="shared" si="2"/>
        <v>0.94349999999999934</v>
      </c>
      <c r="Y19" s="304"/>
      <c r="Z19" s="213"/>
    </row>
    <row r="20" spans="2:26" s="144" customFormat="1" x14ac:dyDescent="0.25">
      <c r="B20" s="145">
        <v>9</v>
      </c>
      <c r="C20" s="146" t="str">
        <f t="shared" si="0"/>
        <v>GEW Wilhelmshaven GmbH</v>
      </c>
      <c r="D20" s="63" t="s">
        <v>248</v>
      </c>
      <c r="E20" s="166" t="s">
        <v>668</v>
      </c>
      <c r="F20" s="308" t="str">
        <f>VLOOKUP($E20,'BDEW-Standard'!$B$3:$M$94,F$9,0)</f>
        <v>MK3</v>
      </c>
      <c r="H20" s="279">
        <f>ROUND(VLOOKUP($E20,'BDEW-Standard'!$B$3:$M$94,H$9,0),7)</f>
        <v>2.7882424000000001</v>
      </c>
      <c r="I20" s="279">
        <f>ROUND(VLOOKUP($E20,'BDEW-Standard'!$B$3:$M$94,I$9,0),7)</f>
        <v>-34.880612999999997</v>
      </c>
      <c r="J20" s="279">
        <f>ROUND(VLOOKUP($E20,'BDEW-Standard'!$B$3:$M$94,J$9,0),7)</f>
        <v>6.5951899000000003</v>
      </c>
      <c r="K20" s="279">
        <f>ROUND(VLOOKUP($E20,'BDEW-Standard'!$B$3:$M$94,K$9,0),7)</f>
        <v>5.4032900000000002E-2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1.0622306107520199</v>
      </c>
      <c r="R20" s="282">
        <f>ROUND(VLOOKUP(MID($E20,4,3),'Wochentag F(WT)'!$B$7:$J$22,R$9,0),4)</f>
        <v>1.0699000000000001</v>
      </c>
      <c r="S20" s="282">
        <f>ROUND(VLOOKUP(MID($E20,4,3),'Wochentag F(WT)'!$B$7:$J$22,S$9,0),4)</f>
        <v>1.0365</v>
      </c>
      <c r="T20" s="282">
        <f>ROUND(VLOOKUP(MID($E20,4,3),'Wochentag F(WT)'!$B$7:$J$22,T$9,0),4)</f>
        <v>0.99329999999999996</v>
      </c>
      <c r="U20" s="282">
        <f>ROUND(VLOOKUP(MID($E20,4,3),'Wochentag F(WT)'!$B$7:$J$22,U$9,0),4)</f>
        <v>0.99480000000000002</v>
      </c>
      <c r="V20" s="282">
        <f>ROUND(VLOOKUP(MID($E20,4,3),'Wochentag F(WT)'!$B$7:$J$22,V$9,0),4)</f>
        <v>1.0659000000000001</v>
      </c>
      <c r="W20" s="282">
        <f>ROUND(VLOOKUP(MID($E20,4,3),'Wochentag F(WT)'!$B$7:$J$22,W$9,0),4)</f>
        <v>0.93620000000000003</v>
      </c>
      <c r="X20" s="283">
        <f t="shared" si="2"/>
        <v>0.90339999999999954</v>
      </c>
      <c r="Y20" s="304"/>
      <c r="Z20" s="213"/>
    </row>
    <row r="21" spans="2:26" s="144" customFormat="1" x14ac:dyDescent="0.25">
      <c r="B21" s="145">
        <v>10</v>
      </c>
      <c r="C21" s="146" t="str">
        <f t="shared" si="0"/>
        <v>GEW Wilhelmshaven GmbH</v>
      </c>
      <c r="D21" s="63" t="s">
        <v>248</v>
      </c>
      <c r="E21" s="166" t="s">
        <v>674</v>
      </c>
      <c r="F21" s="308" t="str">
        <f>VLOOKUP($E21,'BDEW-Standard'!$B$3:$M$94,F$9,0)</f>
        <v>PD3</v>
      </c>
      <c r="H21" s="279">
        <f>ROUND(VLOOKUP($E21,'BDEW-Standard'!$B$3:$M$94,H$9,0),7)</f>
        <v>3.2</v>
      </c>
      <c r="I21" s="279">
        <f>ROUND(VLOOKUP($E21,'BDEW-Standard'!$B$3:$M$94,I$9,0),7)</f>
        <v>-35.799999999999997</v>
      </c>
      <c r="J21" s="279">
        <f>ROUND(VLOOKUP($E21,'BDEW-Standard'!$B$3:$M$94,J$9,0),7)</f>
        <v>8.4</v>
      </c>
      <c r="K21" s="279">
        <f>ROUND(VLOOKUP($E21,'BDEW-Standard'!$B$3:$M$94,K$9,0),7)</f>
        <v>9.3848600000000004E-2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0.99106250024889242</v>
      </c>
      <c r="R21" s="282">
        <f>ROUND(VLOOKUP(MID($E21,4,3),'Wochentag F(WT)'!$B$7:$J$22,R$9,0),4)</f>
        <v>1.0214000000000001</v>
      </c>
      <c r="S21" s="282">
        <f>ROUND(VLOOKUP(MID($E21,4,3),'Wochentag F(WT)'!$B$7:$J$22,S$9,0),4)</f>
        <v>1.0866</v>
      </c>
      <c r="T21" s="282">
        <f>ROUND(VLOOKUP(MID($E21,4,3),'Wochentag F(WT)'!$B$7:$J$22,T$9,0),4)</f>
        <v>1.0720000000000001</v>
      </c>
      <c r="U21" s="282">
        <f>ROUND(VLOOKUP(MID($E21,4,3),'Wochentag F(WT)'!$B$7:$J$22,U$9,0),4)</f>
        <v>1.0557000000000001</v>
      </c>
      <c r="V21" s="282">
        <f>ROUND(VLOOKUP(MID($E21,4,3),'Wochentag F(WT)'!$B$7:$J$22,V$9,0),4)</f>
        <v>1.0117</v>
      </c>
      <c r="W21" s="282">
        <f>ROUND(VLOOKUP(MID($E21,4,3),'Wochentag F(WT)'!$B$7:$J$22,W$9,0),4)</f>
        <v>0.90010000000000001</v>
      </c>
      <c r="X21" s="283">
        <f t="shared" si="2"/>
        <v>0.85249999999999915</v>
      </c>
      <c r="Y21" s="304"/>
      <c r="Z21" s="213"/>
    </row>
    <row r="22" spans="2:26" s="144" customFormat="1" x14ac:dyDescent="0.25">
      <c r="B22" s="145">
        <v>11</v>
      </c>
      <c r="C22" s="146" t="str">
        <f t="shared" si="0"/>
        <v>GEW Wilhelmshaven GmbH</v>
      </c>
      <c r="D22" s="63" t="s">
        <v>248</v>
      </c>
      <c r="E22" s="166" t="s">
        <v>675</v>
      </c>
      <c r="F22" s="308" t="str">
        <f>VLOOKUP($E22,'BDEW-Standard'!$B$3:$M$94,F$9,0)</f>
        <v>WA3</v>
      </c>
      <c r="H22" s="279">
        <f>ROUND(VLOOKUP($E22,'BDEW-Standard'!$B$3:$M$94,H$9,0),7)</f>
        <v>0.76572899999999999</v>
      </c>
      <c r="I22" s="279">
        <f>ROUND(VLOOKUP($E22,'BDEW-Standard'!$B$3:$M$94,I$9,0),7)</f>
        <v>-36.023791199999998</v>
      </c>
      <c r="J22" s="279">
        <f>ROUND(VLOOKUP($E22,'BDEW-Standard'!$B$3:$M$94,J$9,0),7)</f>
        <v>4.8662747</v>
      </c>
      <c r="K22" s="279">
        <f>ROUND(VLOOKUP($E22,'BDEW-Standard'!$B$3:$M$94,K$9,0),7)</f>
        <v>0.80494250000000001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1.0804258319686442</v>
      </c>
      <c r="R22" s="282">
        <f>ROUND(VLOOKUP(MID($E22,4,3),'Wochentag F(WT)'!$B$7:$J$22,R$9,0),4)</f>
        <v>1.2457</v>
      </c>
      <c r="S22" s="282">
        <f>ROUND(VLOOKUP(MID($E22,4,3),'Wochentag F(WT)'!$B$7:$J$22,S$9,0),4)</f>
        <v>1.2615000000000001</v>
      </c>
      <c r="T22" s="282">
        <f>ROUND(VLOOKUP(MID($E22,4,3),'Wochentag F(WT)'!$B$7:$J$22,T$9,0),4)</f>
        <v>1.2706999999999999</v>
      </c>
      <c r="U22" s="282">
        <f>ROUND(VLOOKUP(MID($E22,4,3),'Wochentag F(WT)'!$B$7:$J$22,U$9,0),4)</f>
        <v>1.2430000000000001</v>
      </c>
      <c r="V22" s="282">
        <f>ROUND(VLOOKUP(MID($E22,4,3),'Wochentag F(WT)'!$B$7:$J$22,V$9,0),4)</f>
        <v>1.1275999999999999</v>
      </c>
      <c r="W22" s="282">
        <f>ROUND(VLOOKUP(MID($E22,4,3),'Wochentag F(WT)'!$B$7:$J$22,W$9,0),4)</f>
        <v>0.38769999999999999</v>
      </c>
      <c r="X22" s="283">
        <f t="shared" si="2"/>
        <v>0.46379999999999999</v>
      </c>
      <c r="Y22" s="304"/>
      <c r="Z22" s="213"/>
    </row>
    <row r="23" spans="2:26" s="144" customFormat="1" x14ac:dyDescent="0.25">
      <c r="B23" s="145">
        <v>12</v>
      </c>
      <c r="C23" s="146" t="str">
        <f t="shared" si="0"/>
        <v>GEW Wilhelmshaven GmbH</v>
      </c>
      <c r="D23" s="63" t="s">
        <v>248</v>
      </c>
      <c r="E23" s="166" t="s">
        <v>676</v>
      </c>
      <c r="F23" s="308" t="str">
        <f>VLOOKUP($E23,'BDEW-Standard'!$B$3:$M$94,F$9,0)</f>
        <v>BA3</v>
      </c>
      <c r="H23" s="279">
        <f>ROUND(VLOOKUP($E23,'BDEW-Standard'!$B$3:$M$94,H$9,0),7)</f>
        <v>0.62619619999999998</v>
      </c>
      <c r="I23" s="279">
        <f>ROUND(VLOOKUP($E23,'BDEW-Standard'!$B$3:$M$94,I$9,0),7)</f>
        <v>-33</v>
      </c>
      <c r="J23" s="279">
        <f>ROUND(VLOOKUP($E23,'BDEW-Standard'!$B$3:$M$94,J$9,0),7)</f>
        <v>5.7212303000000002</v>
      </c>
      <c r="K23" s="279">
        <f>ROUND(VLOOKUP($E23,'BDEW-Standard'!$B$3:$M$94,K$9,0),7)</f>
        <v>0.78556550000000003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1.0711738317583412</v>
      </c>
      <c r="R23" s="282">
        <f>ROUND(VLOOKUP(MID($E23,4,3),'Wochentag F(WT)'!$B$7:$J$22,R$9,0),4)</f>
        <v>1.0848</v>
      </c>
      <c r="S23" s="282">
        <f>ROUND(VLOOKUP(MID($E23,4,3),'Wochentag F(WT)'!$B$7:$J$22,S$9,0),4)</f>
        <v>1.1211</v>
      </c>
      <c r="T23" s="282">
        <f>ROUND(VLOOKUP(MID($E23,4,3),'Wochentag F(WT)'!$B$7:$J$22,T$9,0),4)</f>
        <v>1.0769</v>
      </c>
      <c r="U23" s="282">
        <f>ROUND(VLOOKUP(MID($E23,4,3),'Wochentag F(WT)'!$B$7:$J$22,U$9,0),4)</f>
        <v>1.1353</v>
      </c>
      <c r="V23" s="282">
        <f>ROUND(VLOOKUP(MID($E23,4,3),'Wochentag F(WT)'!$B$7:$J$22,V$9,0),4)</f>
        <v>1.1402000000000001</v>
      </c>
      <c r="W23" s="282">
        <f>ROUND(VLOOKUP(MID($E23,4,3),'Wochentag F(WT)'!$B$7:$J$22,W$9,0),4)</f>
        <v>0.48520000000000002</v>
      </c>
      <c r="X23" s="283">
        <f t="shared" si="2"/>
        <v>0.95650000000000013</v>
      </c>
      <c r="Y23" s="304"/>
      <c r="Z23" s="213"/>
    </row>
    <row r="24" spans="2:26" s="144" customFormat="1" x14ac:dyDescent="0.25">
      <c r="B24" s="145">
        <v>13</v>
      </c>
      <c r="C24" s="146" t="str">
        <f t="shared" si="0"/>
        <v>GEW Wilhelmshaven GmbH</v>
      </c>
      <c r="D24" s="63" t="s">
        <v>248</v>
      </c>
      <c r="E24" s="166" t="s">
        <v>677</v>
      </c>
      <c r="F24" s="308" t="str">
        <f>VLOOKUP($E24,'BDEW-Standard'!$B$3:$M$94,F$9,0)</f>
        <v>BD3</v>
      </c>
      <c r="H24" s="279">
        <f>ROUND(VLOOKUP($E24,'BDEW-Standard'!$B$3:$M$94,H$9,0),7)</f>
        <v>2.9177027</v>
      </c>
      <c r="I24" s="279">
        <f>ROUND(VLOOKUP($E24,'BDEW-Standard'!$B$3:$M$94,I$9,0),7)</f>
        <v>-36.179411700000003</v>
      </c>
      <c r="J24" s="279">
        <f>ROUND(VLOOKUP($E24,'BDEW-Standard'!$B$3:$M$94,J$9,0),7)</f>
        <v>5.9265162</v>
      </c>
      <c r="K24" s="279">
        <f>ROUND(VLOOKUP($E24,'BDEW-Standard'!$B$3:$M$94,K$9,0),7)</f>
        <v>0.11519119999999999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1.0656106174494469</v>
      </c>
      <c r="R24" s="282">
        <f>ROUND(VLOOKUP(MID($E24,4,3),'Wochentag F(WT)'!$B$7:$J$22,R$9,0),4)</f>
        <v>1.1052</v>
      </c>
      <c r="S24" s="282">
        <f>ROUND(VLOOKUP(MID($E24,4,3),'Wochentag F(WT)'!$B$7:$J$22,S$9,0),4)</f>
        <v>1.0857000000000001</v>
      </c>
      <c r="T24" s="282">
        <f>ROUND(VLOOKUP(MID($E24,4,3),'Wochentag F(WT)'!$B$7:$J$22,T$9,0),4)</f>
        <v>1.0378000000000001</v>
      </c>
      <c r="U24" s="282">
        <f>ROUND(VLOOKUP(MID($E24,4,3),'Wochentag F(WT)'!$B$7:$J$22,U$9,0),4)</f>
        <v>1.0622</v>
      </c>
      <c r="V24" s="282">
        <f>ROUND(VLOOKUP(MID($E24,4,3),'Wochentag F(WT)'!$B$7:$J$22,V$9,0),4)</f>
        <v>1.0266</v>
      </c>
      <c r="W24" s="282">
        <f>ROUND(VLOOKUP(MID($E24,4,3),'Wochentag F(WT)'!$B$7:$J$22,W$9,0),4)</f>
        <v>0.76290000000000002</v>
      </c>
      <c r="X24" s="283">
        <f t="shared" si="2"/>
        <v>0.91959999999999997</v>
      </c>
      <c r="Y24" s="304"/>
      <c r="Z24" s="213"/>
    </row>
    <row r="25" spans="2:26" s="144" customFormat="1" x14ac:dyDescent="0.25">
      <c r="B25" s="145">
        <v>14</v>
      </c>
      <c r="C25" s="146" t="str">
        <f t="shared" si="0"/>
        <v>GEW Wilhelmshaven GmbH</v>
      </c>
      <c r="D25" s="63" t="s">
        <v>248</v>
      </c>
      <c r="E25" s="166" t="s">
        <v>678</v>
      </c>
      <c r="F25" s="308" t="str">
        <f>VLOOKUP($E25,'BDEW-Standard'!$B$3:$M$94,F$9,0)</f>
        <v>BH3</v>
      </c>
      <c r="H25" s="279">
        <f>ROUND(VLOOKUP($E25,'BDEW-Standard'!$B$3:$M$94,H$9,0),7)</f>
        <v>2.0102471999999998</v>
      </c>
      <c r="I25" s="279">
        <f>ROUND(VLOOKUP($E25,'BDEW-Standard'!$B$3:$M$94,I$9,0),7)</f>
        <v>-35.253212400000002</v>
      </c>
      <c r="J25" s="279">
        <f>ROUND(VLOOKUP($E25,'BDEW-Standard'!$B$3:$M$94,J$9,0),7)</f>
        <v>6.1544406</v>
      </c>
      <c r="K25" s="279">
        <f>ROUND(VLOOKUP($E25,'BDEW-Standard'!$B$3:$M$94,K$9,0),7)</f>
        <v>0.32947409999999999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1.0436896084076008</v>
      </c>
      <c r="R25" s="282">
        <f>ROUND(VLOOKUP(MID($E25,4,3),'Wochentag F(WT)'!$B$7:$J$22,R$9,0),4)</f>
        <v>0.97670000000000001</v>
      </c>
      <c r="S25" s="282">
        <f>ROUND(VLOOKUP(MID($E25,4,3),'Wochentag F(WT)'!$B$7:$J$22,S$9,0),4)</f>
        <v>1.0388999999999999</v>
      </c>
      <c r="T25" s="282">
        <f>ROUND(VLOOKUP(MID($E25,4,3),'Wochentag F(WT)'!$B$7:$J$22,T$9,0),4)</f>
        <v>1.0027999999999999</v>
      </c>
      <c r="U25" s="282">
        <f>ROUND(VLOOKUP(MID($E25,4,3),'Wochentag F(WT)'!$B$7:$J$22,U$9,0),4)</f>
        <v>1.0162</v>
      </c>
      <c r="V25" s="282">
        <f>ROUND(VLOOKUP(MID($E25,4,3),'Wochentag F(WT)'!$B$7:$J$22,V$9,0),4)</f>
        <v>1.0024</v>
      </c>
      <c r="W25" s="282">
        <f>ROUND(VLOOKUP(MID($E25,4,3),'Wochentag F(WT)'!$B$7:$J$22,W$9,0),4)</f>
        <v>1.0043</v>
      </c>
      <c r="X25" s="283">
        <f t="shared" si="2"/>
        <v>0.95870000000000122</v>
      </c>
      <c r="Y25" s="304"/>
      <c r="Z25" s="213"/>
    </row>
    <row r="26" spans="2:26" s="144" customFormat="1" x14ac:dyDescent="0.25">
      <c r="B26" s="145">
        <v>15</v>
      </c>
      <c r="C26" s="146" t="str">
        <f t="shared" si="0"/>
        <v>GEW Wilhelmshaven GmbH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 x14ac:dyDescent="0.25">
      <c r="B27" s="145">
        <v>16</v>
      </c>
      <c r="C27" s="146" t="str">
        <f t="shared" si="0"/>
        <v>GEW Wilhelmshaven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 x14ac:dyDescent="0.25">
      <c r="B28" s="145">
        <v>17</v>
      </c>
      <c r="C28" s="146" t="str">
        <f t="shared" si="0"/>
        <v>GEW Wilhelmshaven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 x14ac:dyDescent="0.25">
      <c r="B29" s="145">
        <v>18</v>
      </c>
      <c r="C29" s="146" t="str">
        <f t="shared" si="0"/>
        <v>GEW Wilhelmshaven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 x14ac:dyDescent="0.25">
      <c r="B30" s="145">
        <v>19</v>
      </c>
      <c r="C30" s="146" t="str">
        <f t="shared" si="0"/>
        <v>GEW Wilhelmshaven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 x14ac:dyDescent="0.25">
      <c r="B31" s="145">
        <v>20</v>
      </c>
      <c r="C31" s="146" t="str">
        <f t="shared" si="0"/>
        <v>GEW Wilhelmshaven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 x14ac:dyDescent="0.25">
      <c r="B32" s="145">
        <v>21</v>
      </c>
      <c r="C32" s="146" t="str">
        <f t="shared" si="0"/>
        <v>GEW Wilhelmshaven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 x14ac:dyDescent="0.25">
      <c r="B33" s="145">
        <v>22</v>
      </c>
      <c r="C33" s="146" t="str">
        <f t="shared" si="0"/>
        <v>GEW Wilhelmshaven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 x14ac:dyDescent="0.25">
      <c r="B34" s="145">
        <v>23</v>
      </c>
      <c r="C34" s="146" t="str">
        <f t="shared" si="0"/>
        <v>GEW Wilhelmshaven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 x14ac:dyDescent="0.25">
      <c r="B35" s="145">
        <v>24</v>
      </c>
      <c r="C35" s="146" t="str">
        <f t="shared" si="0"/>
        <v>GEW Wilhelmshaven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 x14ac:dyDescent="0.25">
      <c r="B36" s="145">
        <v>25</v>
      </c>
      <c r="C36" s="146" t="str">
        <f t="shared" si="0"/>
        <v>GEW Wilhelmshaven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 x14ac:dyDescent="0.25">
      <c r="B37" s="145">
        <v>26</v>
      </c>
      <c r="C37" s="146" t="str">
        <f t="shared" si="0"/>
        <v>GEW Wilhelmshaven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 x14ac:dyDescent="0.25">
      <c r="B38" s="145">
        <v>27</v>
      </c>
      <c r="C38" s="146" t="str">
        <f t="shared" si="0"/>
        <v>GEW Wilhelmshaven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 x14ac:dyDescent="0.25">
      <c r="B39" s="145">
        <v>28</v>
      </c>
      <c r="C39" s="146" t="str">
        <f t="shared" si="0"/>
        <v>GEW Wilhelmshaven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 x14ac:dyDescent="0.25">
      <c r="B40" s="145">
        <v>29</v>
      </c>
      <c r="C40" s="146" t="str">
        <f t="shared" si="0"/>
        <v>GEW Wilhelmshaven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 x14ac:dyDescent="0.25">
      <c r="B41" s="145">
        <v>30</v>
      </c>
      <c r="C41" s="146" t="str">
        <f t="shared" si="0"/>
        <v>GEW Wilhelmshaven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 x14ac:dyDescent="0.2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 x14ac:dyDescent="0.25">
      <c r="A1" s="216" t="s">
        <v>349</v>
      </c>
      <c r="B1" s="217">
        <v>42173</v>
      </c>
      <c r="D1" s="132" t="s">
        <v>458</v>
      </c>
      <c r="F1" s="218" t="s">
        <v>551</v>
      </c>
      <c r="N1" s="219"/>
    </row>
    <row r="2" spans="1:14" ht="25.5" x14ac:dyDescent="0.2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 x14ac:dyDescent="0.25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 x14ac:dyDescent="0.25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 x14ac:dyDescent="0.25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 x14ac:dyDescent="0.25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 x14ac:dyDescent="0.25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 x14ac:dyDescent="0.25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 x14ac:dyDescent="0.25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 x14ac:dyDescent="0.25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 x14ac:dyDescent="0.25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 x14ac:dyDescent="0.25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 x14ac:dyDescent="0.25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 x14ac:dyDescent="0.25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 x14ac:dyDescent="0.25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 x14ac:dyDescent="0.25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 x14ac:dyDescent="0.25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 x14ac:dyDescent="0.25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 x14ac:dyDescent="0.25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 x14ac:dyDescent="0.25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 x14ac:dyDescent="0.25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 x14ac:dyDescent="0.25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 x14ac:dyDescent="0.25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 x14ac:dyDescent="0.25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 x14ac:dyDescent="0.25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 x14ac:dyDescent="0.25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 x14ac:dyDescent="0.25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 x14ac:dyDescent="0.25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 x14ac:dyDescent="0.25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 x14ac:dyDescent="0.25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 x14ac:dyDescent="0.25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 x14ac:dyDescent="0.25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 x14ac:dyDescent="0.25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 x14ac:dyDescent="0.25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 x14ac:dyDescent="0.25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 x14ac:dyDescent="0.25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 x14ac:dyDescent="0.25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 x14ac:dyDescent="0.25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 x14ac:dyDescent="0.25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 x14ac:dyDescent="0.25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 x14ac:dyDescent="0.25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 x14ac:dyDescent="0.25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 x14ac:dyDescent="0.25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 x14ac:dyDescent="0.25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 x14ac:dyDescent="0.25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 x14ac:dyDescent="0.25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 x14ac:dyDescent="0.25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 x14ac:dyDescent="0.25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 x14ac:dyDescent="0.25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 x14ac:dyDescent="0.25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 x14ac:dyDescent="0.25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 x14ac:dyDescent="0.25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 x14ac:dyDescent="0.25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 x14ac:dyDescent="0.25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 x14ac:dyDescent="0.25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 x14ac:dyDescent="0.25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 x14ac:dyDescent="0.25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 x14ac:dyDescent="0.25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 x14ac:dyDescent="0.25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 x14ac:dyDescent="0.25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 x14ac:dyDescent="0.25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 x14ac:dyDescent="0.25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 x14ac:dyDescent="0.25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 x14ac:dyDescent="0.25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 x14ac:dyDescent="0.25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 x14ac:dyDescent="0.25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 x14ac:dyDescent="0.25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 x14ac:dyDescent="0.25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 x14ac:dyDescent="0.25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 x14ac:dyDescent="0.25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 x14ac:dyDescent="0.25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 x14ac:dyDescent="0.25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 x14ac:dyDescent="0.25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 x14ac:dyDescent="0.25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 x14ac:dyDescent="0.25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 x14ac:dyDescent="0.25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 x14ac:dyDescent="0.25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 x14ac:dyDescent="0.25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 x14ac:dyDescent="0.25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 x14ac:dyDescent="0.25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 x14ac:dyDescent="0.25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 x14ac:dyDescent="0.25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 x14ac:dyDescent="0.25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 x14ac:dyDescent="0.25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 x14ac:dyDescent="0.25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 x14ac:dyDescent="0.25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 x14ac:dyDescent="0.25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 x14ac:dyDescent="0.25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 x14ac:dyDescent="0.25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 x14ac:dyDescent="0.25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 x14ac:dyDescent="0.25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 x14ac:dyDescent="0.25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 x14ac:dyDescent="0.25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 x14ac:dyDescent="0.3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 x14ac:dyDescent="0.25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 x14ac:dyDescent="0.25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 x14ac:dyDescent="0.25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 x14ac:dyDescent="0.25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 x14ac:dyDescent="0.25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 x14ac:dyDescent="0.25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 x14ac:dyDescent="0.25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 x14ac:dyDescent="0.25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 x14ac:dyDescent="0.25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 x14ac:dyDescent="0.25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 x14ac:dyDescent="0.25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 x14ac:dyDescent="0.25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 x14ac:dyDescent="0.25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 x14ac:dyDescent="0.25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 x14ac:dyDescent="0.25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 x14ac:dyDescent="0.25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 x14ac:dyDescent="0.25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 x14ac:dyDescent="0.25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 x14ac:dyDescent="0.25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 x14ac:dyDescent="0.25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 x14ac:dyDescent="0.25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 x14ac:dyDescent="0.25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 x14ac:dyDescent="0.25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 x14ac:dyDescent="0.25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 x14ac:dyDescent="0.25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 x14ac:dyDescent="0.25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 x14ac:dyDescent="0.25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 x14ac:dyDescent="0.25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 x14ac:dyDescent="0.25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 x14ac:dyDescent="0.25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 x14ac:dyDescent="0.25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 x14ac:dyDescent="0.25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 x14ac:dyDescent="0.25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 x14ac:dyDescent="0.25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 x14ac:dyDescent="0.25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 x14ac:dyDescent="0.25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 x14ac:dyDescent="0.25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 x14ac:dyDescent="0.25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 x14ac:dyDescent="0.25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 x14ac:dyDescent="0.25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 x14ac:dyDescent="0.25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 x14ac:dyDescent="0.25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 x14ac:dyDescent="0.25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 x14ac:dyDescent="0.25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 x14ac:dyDescent="0.25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 x14ac:dyDescent="0.25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 x14ac:dyDescent="0.25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 x14ac:dyDescent="0.25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 x14ac:dyDescent="0.25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 x14ac:dyDescent="0.25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 x14ac:dyDescent="0.25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 x14ac:dyDescent="0.25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 x14ac:dyDescent="0.25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 x14ac:dyDescent="0.25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 x14ac:dyDescent="0.25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 x14ac:dyDescent="0.25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 x14ac:dyDescent="0.25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 x14ac:dyDescent="0.25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 x14ac:dyDescent="0.25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 x14ac:dyDescent="0.25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 x14ac:dyDescent="0.25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 x14ac:dyDescent="0.25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 x14ac:dyDescent="0.25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 x14ac:dyDescent="0.25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 x14ac:dyDescent="0.2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 x14ac:dyDescent="0.2"/>
    <row r="2" spans="2:30" ht="23.25" x14ac:dyDescent="0.35">
      <c r="B2" s="85" t="s">
        <v>450</v>
      </c>
    </row>
    <row r="3" spans="2:30" ht="15" customHeight="1" x14ac:dyDescent="0.35">
      <c r="B3" s="85"/>
    </row>
    <row r="4" spans="2:30" ht="15" customHeight="1" x14ac:dyDescent="0.25">
      <c r="B4" s="86" t="s">
        <v>449</v>
      </c>
      <c r="C4" s="64" t="str">
        <f>Netzbetreiber!$D$9</f>
        <v>GEW Wilhelmshaven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 x14ac:dyDescent="0.25">
      <c r="B5" s="88" t="s">
        <v>448</v>
      </c>
      <c r="C5" s="65" t="str">
        <f>Netzbetreiber!D28</f>
        <v>GEW Wilhelmshaven GmbH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 x14ac:dyDescent="0.25">
      <c r="B6" s="86" t="s">
        <v>446</v>
      </c>
      <c r="C6" s="64">
        <f>Netzbetreiber!$D$11</f>
        <v>9870094300000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 x14ac:dyDescent="0.3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 x14ac:dyDescent="0.3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6" t="s">
        <v>462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 x14ac:dyDescent="0.3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 x14ac:dyDescent="0.25">
      <c r="B10" s="351" t="s">
        <v>589</v>
      </c>
      <c r="C10" s="352"/>
      <c r="D10" s="95">
        <v>2</v>
      </c>
      <c r="E10" s="96" t="str">
        <f>IF(ISERROR(HLOOKUP(E$11,$M$9:$AD$33,$D10,0)),"",HLOOKUP(E$11,$M$9:$AD$33,$D10,0))</f>
        <v/>
      </c>
      <c r="F10" s="349" t="s">
        <v>400</v>
      </c>
      <c r="G10" s="349"/>
      <c r="H10" s="349"/>
      <c r="I10" s="349"/>
      <c r="J10" s="349"/>
      <c r="K10" s="349"/>
      <c r="L10" s="350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.75" thickBot="1" x14ac:dyDescent="0.3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 x14ac:dyDescent="0.25">
      <c r="B12" s="110" t="s">
        <v>401</v>
      </c>
      <c r="C12" s="111"/>
      <c r="D12" s="112">
        <v>4</v>
      </c>
      <c r="E12" s="315">
        <f>MIN(SUMPRODUCT($M$11:$AD$11,M12:AD12),1)</f>
        <v>1</v>
      </c>
      <c r="F12" s="312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 x14ac:dyDescent="0.25">
      <c r="B13" s="117" t="s">
        <v>402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397</v>
      </c>
      <c r="G13" s="81" t="s">
        <v>397</v>
      </c>
      <c r="H13" s="81" t="s">
        <v>397</v>
      </c>
      <c r="I13" s="81" t="s">
        <v>397</v>
      </c>
      <c r="J13" s="81" t="s">
        <v>397</v>
      </c>
      <c r="K13" s="81" t="s">
        <v>397</v>
      </c>
      <c r="L13" s="82" t="s">
        <v>397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 x14ac:dyDescent="0.25">
      <c r="B14" s="117" t="s">
        <v>403</v>
      </c>
      <c r="C14" s="118"/>
      <c r="D14" s="112">
        <v>6</v>
      </c>
      <c r="E14" s="316">
        <f t="shared" si="0"/>
        <v>0</v>
      </c>
      <c r="F14" s="313" t="s">
        <v>397</v>
      </c>
      <c r="G14" s="81" t="s">
        <v>404</v>
      </c>
      <c r="H14" s="81" t="s">
        <v>404</v>
      </c>
      <c r="I14" s="81" t="s">
        <v>404</v>
      </c>
      <c r="J14" s="81" t="s">
        <v>404</v>
      </c>
      <c r="K14" s="81" t="s">
        <v>404</v>
      </c>
      <c r="L14" s="82" t="s">
        <v>404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 x14ac:dyDescent="0.25">
      <c r="B15" s="117" t="s">
        <v>405</v>
      </c>
      <c r="C15" s="118"/>
      <c r="D15" s="112">
        <v>7</v>
      </c>
      <c r="E15" s="316">
        <f t="shared" si="0"/>
        <v>0</v>
      </c>
      <c r="F15" s="313" t="s">
        <v>404</v>
      </c>
      <c r="G15" s="81" t="s">
        <v>396</v>
      </c>
      <c r="H15" s="81" t="s">
        <v>404</v>
      </c>
      <c r="I15" s="81" t="s">
        <v>404</v>
      </c>
      <c r="J15" s="81" t="s">
        <v>404</v>
      </c>
      <c r="K15" s="81" t="s">
        <v>404</v>
      </c>
      <c r="L15" s="82" t="s">
        <v>404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 x14ac:dyDescent="0.25">
      <c r="B16" s="122" t="s">
        <v>417</v>
      </c>
      <c r="C16" s="118"/>
      <c r="D16" s="112">
        <v>8</v>
      </c>
      <c r="E16" s="316">
        <f t="shared" si="0"/>
        <v>1</v>
      </c>
      <c r="F16" s="313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 x14ac:dyDescent="0.25">
      <c r="B17" s="122" t="s">
        <v>418</v>
      </c>
      <c r="C17" s="118"/>
      <c r="D17" s="112">
        <v>9</v>
      </c>
      <c r="E17" s="316">
        <f t="shared" si="0"/>
        <v>1</v>
      </c>
      <c r="F17" s="313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 x14ac:dyDescent="0.25">
      <c r="B18" s="122" t="s">
        <v>419</v>
      </c>
      <c r="C18" s="118"/>
      <c r="D18" s="112">
        <v>10</v>
      </c>
      <c r="E18" s="316">
        <f t="shared" si="0"/>
        <v>1</v>
      </c>
      <c r="F18" s="313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 x14ac:dyDescent="0.25">
      <c r="B19" s="122" t="s">
        <v>406</v>
      </c>
      <c r="C19" s="118"/>
      <c r="D19" s="112">
        <v>11</v>
      </c>
      <c r="E19" s="316">
        <f t="shared" si="0"/>
        <v>1</v>
      </c>
      <c r="F19" s="313" t="s">
        <v>397</v>
      </c>
      <c r="G19" s="81" t="s">
        <v>397</v>
      </c>
      <c r="H19" s="81" t="s">
        <v>397</v>
      </c>
      <c r="I19" s="81" t="s">
        <v>397</v>
      </c>
      <c r="J19" s="81" t="s">
        <v>397</v>
      </c>
      <c r="K19" s="81" t="s">
        <v>397</v>
      </c>
      <c r="L19" s="82" t="s">
        <v>397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 x14ac:dyDescent="0.25">
      <c r="B20" s="122" t="s">
        <v>655</v>
      </c>
      <c r="C20" s="118"/>
      <c r="D20" s="112">
        <v>12</v>
      </c>
      <c r="E20" s="316">
        <f t="shared" si="0"/>
        <v>1</v>
      </c>
      <c r="F20" s="313" t="s">
        <v>404</v>
      </c>
      <c r="G20" s="81" t="s">
        <v>404</v>
      </c>
      <c r="H20" s="81" t="s">
        <v>404</v>
      </c>
      <c r="I20" s="81" t="s">
        <v>397</v>
      </c>
      <c r="J20" s="81" t="s">
        <v>404</v>
      </c>
      <c r="K20" s="81" t="s">
        <v>404</v>
      </c>
      <c r="L20" s="82" t="s">
        <v>404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 x14ac:dyDescent="0.25">
      <c r="B21" s="122" t="s">
        <v>420</v>
      </c>
      <c r="C21" s="118"/>
      <c r="D21" s="112">
        <v>13</v>
      </c>
      <c r="E21" s="316">
        <f t="shared" si="0"/>
        <v>1</v>
      </c>
      <c r="F21" s="313" t="s">
        <v>404</v>
      </c>
      <c r="G21" s="81" t="s">
        <v>404</v>
      </c>
      <c r="H21" s="81" t="s">
        <v>404</v>
      </c>
      <c r="I21" s="81" t="s">
        <v>404</v>
      </c>
      <c r="J21" s="81" t="s">
        <v>404</v>
      </c>
      <c r="K21" s="81" t="s">
        <v>404</v>
      </c>
      <c r="L21" s="82" t="s">
        <v>397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 x14ac:dyDescent="0.25">
      <c r="B22" s="122" t="s">
        <v>421</v>
      </c>
      <c r="C22" s="118"/>
      <c r="D22" s="112">
        <v>14</v>
      </c>
      <c r="E22" s="316">
        <f t="shared" si="0"/>
        <v>1</v>
      </c>
      <c r="F22" s="313" t="s">
        <v>397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404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 x14ac:dyDescent="0.25">
      <c r="B23" s="117" t="s">
        <v>422</v>
      </c>
      <c r="C23" s="118"/>
      <c r="D23" s="112">
        <v>15</v>
      </c>
      <c r="E23" s="316">
        <f t="shared" si="0"/>
        <v>0</v>
      </c>
      <c r="F23" s="313" t="s">
        <v>404</v>
      </c>
      <c r="G23" s="81" t="s">
        <v>404</v>
      </c>
      <c r="H23" s="81" t="s">
        <v>404</v>
      </c>
      <c r="I23" s="81" t="s">
        <v>397</v>
      </c>
      <c r="J23" s="81" t="s">
        <v>404</v>
      </c>
      <c r="K23" s="81" t="s">
        <v>404</v>
      </c>
      <c r="L23" s="82" t="s">
        <v>404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 x14ac:dyDescent="0.25">
      <c r="B24" s="117" t="s">
        <v>407</v>
      </c>
      <c r="C24" s="118"/>
      <c r="D24" s="112">
        <v>16</v>
      </c>
      <c r="E24" s="316">
        <f t="shared" si="0"/>
        <v>0</v>
      </c>
      <c r="F24" s="313" t="s">
        <v>397</v>
      </c>
      <c r="G24" s="81" t="s">
        <v>397</v>
      </c>
      <c r="H24" s="81" t="s">
        <v>397</v>
      </c>
      <c r="I24" s="81" t="s">
        <v>397</v>
      </c>
      <c r="J24" s="81" t="s">
        <v>397</v>
      </c>
      <c r="K24" s="81" t="s">
        <v>397</v>
      </c>
      <c r="L24" s="82" t="s">
        <v>397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 x14ac:dyDescent="0.25">
      <c r="B25" s="117" t="s">
        <v>408</v>
      </c>
      <c r="C25" s="118"/>
      <c r="D25" s="112">
        <v>17</v>
      </c>
      <c r="E25" s="316">
        <f t="shared" si="0"/>
        <v>0</v>
      </c>
      <c r="F25" s="313" t="s">
        <v>397</v>
      </c>
      <c r="G25" s="81" t="s">
        <v>397</v>
      </c>
      <c r="H25" s="81" t="s">
        <v>397</v>
      </c>
      <c r="I25" s="81" t="s">
        <v>397</v>
      </c>
      <c r="J25" s="81" t="s">
        <v>397</v>
      </c>
      <c r="K25" s="81" t="s">
        <v>397</v>
      </c>
      <c r="L25" s="82" t="s">
        <v>397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 x14ac:dyDescent="0.25">
      <c r="B26" s="122" t="s">
        <v>409</v>
      </c>
      <c r="C26" s="118"/>
      <c r="D26" s="112">
        <v>18</v>
      </c>
      <c r="E26" s="316">
        <f t="shared" si="0"/>
        <v>1</v>
      </c>
      <c r="F26" s="313" t="s">
        <v>397</v>
      </c>
      <c r="G26" s="81" t="s">
        <v>397</v>
      </c>
      <c r="H26" s="81" t="s">
        <v>397</v>
      </c>
      <c r="I26" s="81" t="s">
        <v>397</v>
      </c>
      <c r="J26" s="81" t="s">
        <v>397</v>
      </c>
      <c r="K26" s="81" t="s">
        <v>397</v>
      </c>
      <c r="L26" s="82" t="s">
        <v>397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 x14ac:dyDescent="0.25">
      <c r="B27" s="117" t="s">
        <v>410</v>
      </c>
      <c r="C27" s="118"/>
      <c r="D27" s="112">
        <v>19</v>
      </c>
      <c r="E27" s="316">
        <f t="shared" si="0"/>
        <v>0</v>
      </c>
      <c r="F27" s="313" t="s">
        <v>397</v>
      </c>
      <c r="G27" s="81" t="s">
        <v>397</v>
      </c>
      <c r="H27" s="81" t="s">
        <v>397</v>
      </c>
      <c r="I27" s="81" t="s">
        <v>397</v>
      </c>
      <c r="J27" s="81" t="s">
        <v>397</v>
      </c>
      <c r="K27" s="81" t="s">
        <v>397</v>
      </c>
      <c r="L27" s="82" t="s">
        <v>397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 x14ac:dyDescent="0.25">
      <c r="B28" s="117" t="s">
        <v>411</v>
      </c>
      <c r="C28" s="118"/>
      <c r="D28" s="112">
        <v>20</v>
      </c>
      <c r="E28" s="316">
        <f t="shared" si="0"/>
        <v>0</v>
      </c>
      <c r="F28" s="313" t="s">
        <v>397</v>
      </c>
      <c r="G28" s="81" t="s">
        <v>397</v>
      </c>
      <c r="H28" s="81" t="s">
        <v>397</v>
      </c>
      <c r="I28" s="81" t="s">
        <v>397</v>
      </c>
      <c r="J28" s="81" t="s">
        <v>397</v>
      </c>
      <c r="K28" s="81" t="s">
        <v>397</v>
      </c>
      <c r="L28" s="82" t="s">
        <v>397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 x14ac:dyDescent="0.25">
      <c r="B29" s="117" t="s">
        <v>412</v>
      </c>
      <c r="C29" s="118"/>
      <c r="D29" s="112">
        <v>21</v>
      </c>
      <c r="E29" s="316">
        <f t="shared" si="0"/>
        <v>0</v>
      </c>
      <c r="F29" s="313" t="s">
        <v>404</v>
      </c>
      <c r="G29" s="81" t="s">
        <v>404</v>
      </c>
      <c r="H29" s="81" t="s">
        <v>397</v>
      </c>
      <c r="I29" s="81" t="s">
        <v>404</v>
      </c>
      <c r="J29" s="81" t="s">
        <v>404</v>
      </c>
      <c r="K29" s="81" t="s">
        <v>404</v>
      </c>
      <c r="L29" s="82" t="s">
        <v>404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 x14ac:dyDescent="0.25">
      <c r="B30" s="117" t="s">
        <v>413</v>
      </c>
      <c r="C30" s="118"/>
      <c r="D30" s="112">
        <v>22</v>
      </c>
      <c r="E30" s="316">
        <f t="shared" si="0"/>
        <v>0</v>
      </c>
      <c r="F30" s="313" t="s">
        <v>396</v>
      </c>
      <c r="G30" s="81" t="s">
        <v>396</v>
      </c>
      <c r="H30" s="81" t="s">
        <v>396</v>
      </c>
      <c r="I30" s="81" t="s">
        <v>396</v>
      </c>
      <c r="J30" s="81" t="s">
        <v>396</v>
      </c>
      <c r="K30" s="81" t="s">
        <v>396</v>
      </c>
      <c r="L30" s="82" t="s">
        <v>397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 x14ac:dyDescent="0.25">
      <c r="B31" s="122" t="s">
        <v>414</v>
      </c>
      <c r="C31" s="118"/>
      <c r="D31" s="112">
        <v>23</v>
      </c>
      <c r="E31" s="316">
        <f t="shared" si="0"/>
        <v>1</v>
      </c>
      <c r="F31" s="313" t="s">
        <v>397</v>
      </c>
      <c r="G31" s="81" t="s">
        <v>397</v>
      </c>
      <c r="H31" s="81" t="s">
        <v>397</v>
      </c>
      <c r="I31" s="81" t="s">
        <v>397</v>
      </c>
      <c r="J31" s="81" t="s">
        <v>397</v>
      </c>
      <c r="K31" s="81" t="s">
        <v>397</v>
      </c>
      <c r="L31" s="82" t="s">
        <v>397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 x14ac:dyDescent="0.25">
      <c r="B32" s="122" t="s">
        <v>415</v>
      </c>
      <c r="C32" s="118"/>
      <c r="D32" s="112">
        <v>24</v>
      </c>
      <c r="E32" s="316">
        <f t="shared" si="0"/>
        <v>1</v>
      </c>
      <c r="F32" s="313" t="s">
        <v>397</v>
      </c>
      <c r="G32" s="81" t="s">
        <v>397</v>
      </c>
      <c r="H32" s="81" t="s">
        <v>397</v>
      </c>
      <c r="I32" s="81" t="s">
        <v>397</v>
      </c>
      <c r="J32" s="81" t="s">
        <v>397</v>
      </c>
      <c r="K32" s="81" t="s">
        <v>397</v>
      </c>
      <c r="L32" s="82" t="s">
        <v>397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 x14ac:dyDescent="0.3">
      <c r="B33" s="123" t="s">
        <v>416</v>
      </c>
      <c r="C33" s="124"/>
      <c r="D33" s="125">
        <v>25</v>
      </c>
      <c r="E33" s="317">
        <f t="shared" si="0"/>
        <v>0</v>
      </c>
      <c r="F33" s="314" t="s">
        <v>396</v>
      </c>
      <c r="G33" s="83" t="s">
        <v>396</v>
      </c>
      <c r="H33" s="83" t="s">
        <v>396</v>
      </c>
      <c r="I33" s="83" t="s">
        <v>396</v>
      </c>
      <c r="J33" s="83" t="s">
        <v>396</v>
      </c>
      <c r="K33" s="83" t="s">
        <v>396</v>
      </c>
      <c r="L33" s="84" t="s">
        <v>397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 x14ac:dyDescent="0.2"/>
    <row r="35" spans="2:30" x14ac:dyDescent="0.2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 x14ac:dyDescent="0.2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 x14ac:dyDescent="0.25">
      <c r="A1" s="132" t="s">
        <v>459</v>
      </c>
      <c r="B1" s="129"/>
      <c r="D1" s="218" t="s">
        <v>551</v>
      </c>
    </row>
    <row r="2" spans="1:16" x14ac:dyDescent="0.25">
      <c r="A2" s="238"/>
      <c r="B2" s="237" t="s">
        <v>460</v>
      </c>
    </row>
    <row r="3" spans="1:16" ht="20.100000000000001" customHeight="1" x14ac:dyDescent="0.25">
      <c r="A3" s="353" t="s">
        <v>249</v>
      </c>
      <c r="B3" s="239" t="s">
        <v>86</v>
      </c>
      <c r="C3" s="240"/>
      <c r="D3" s="355" t="s">
        <v>461</v>
      </c>
      <c r="E3" s="356"/>
      <c r="F3" s="356"/>
      <c r="G3" s="356"/>
      <c r="H3" s="356"/>
      <c r="I3" s="356"/>
      <c r="J3" s="357"/>
      <c r="K3" s="241"/>
      <c r="L3" s="241"/>
      <c r="M3" s="241"/>
      <c r="N3" s="241"/>
      <c r="O3" s="242"/>
      <c r="P3" s="241"/>
    </row>
    <row r="4" spans="1:16" ht="20.100000000000001" customHeight="1" x14ac:dyDescent="0.25">
      <c r="A4" s="354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 x14ac:dyDescent="0.25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 x14ac:dyDescent="0.25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 x14ac:dyDescent="0.25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370</v>
      </c>
      <c r="O7" s="251"/>
      <c r="P7" s="245"/>
    </row>
    <row r="8" spans="1:16" ht="21" customHeight="1" x14ac:dyDescent="0.25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370</v>
      </c>
      <c r="O8" s="251"/>
      <c r="P8" s="245"/>
    </row>
    <row r="9" spans="1:16" ht="21" customHeight="1" x14ac:dyDescent="0.25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 x14ac:dyDescent="0.25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 x14ac:dyDescent="0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 x14ac:dyDescent="0.25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 x14ac:dyDescent="0.25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 x14ac:dyDescent="0.25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 x14ac:dyDescent="0.25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 x14ac:dyDescent="0.25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 x14ac:dyDescent="0.25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 x14ac:dyDescent="0.25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 x14ac:dyDescent="0.25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 x14ac:dyDescent="0.25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 x14ac:dyDescent="0.25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 x14ac:dyDescent="0.2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 x14ac:dyDescent="0.25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Ivonne</cp:lastModifiedBy>
  <cp:lastPrinted>2015-03-20T22:59:10Z</cp:lastPrinted>
  <dcterms:created xsi:type="dcterms:W3CDTF">2015-01-15T05:25:41Z</dcterms:created>
  <dcterms:modified xsi:type="dcterms:W3CDTF">2018-06-08T07:18:04Z</dcterms:modified>
</cp:coreProperties>
</file>